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20171030指标" sheetId="68" state="hidden"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'比较法-住宅、综合'!$A$1:$K$55</definedName>
    <definedName name="_xlnm.Print_Area" localSheetId="33">'不动产比较法-住宅'!$A$1:$K$54</definedName>
    <definedName name="_xlnm.Print_Area" localSheetId="30">不动产收益法!$A$1:$F$43</definedName>
    <definedName name="_xlnm.Print_Area" localSheetId="17">结果表!$A$1:$I$115</definedName>
    <definedName name="_xlnm.Print_Area" localSheetId="18">'剩余法-待开发'!$A$1:$K$36</definedName>
    <definedName name="_xlnm.Print_Area" localSheetId="13">'数据-汇总表'!$A$1:$I$32</definedName>
    <definedName name="_xlnm.Print_Area" localSheetId="14">'数据-取费表'!$A$1:$AM$54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C15" i="66" l="1"/>
  <c r="B15" i="66"/>
  <c r="D14" i="9" l="1"/>
  <c r="I8" i="39"/>
  <c r="C8" i="39"/>
  <c r="C12" i="39"/>
  <c r="C13" i="39"/>
  <c r="C40" i="39"/>
  <c r="I28" i="21"/>
  <c r="G28" i="21"/>
  <c r="E28" i="21"/>
  <c r="C28" i="21"/>
  <c r="C11" i="21"/>
  <c r="B35" i="1" l="1"/>
  <c r="D81" i="68" l="1"/>
  <c r="D80" i="68"/>
  <c r="D79" i="68"/>
  <c r="D78" i="68"/>
  <c r="H71" i="68"/>
  <c r="H72" i="68" s="1"/>
  <c r="F71" i="68"/>
  <c r="E71" i="68"/>
  <c r="D71" i="68"/>
  <c r="Q70" i="68"/>
  <c r="T70" i="68" s="1"/>
  <c r="Q69" i="68"/>
  <c r="T69" i="68" s="1"/>
  <c r="I68" i="68"/>
  <c r="Q68" i="68" s="1"/>
  <c r="T68" i="68" s="1"/>
  <c r="Q67" i="68"/>
  <c r="T67" i="68" s="1"/>
  <c r="I66" i="68"/>
  <c r="Q66" i="68" s="1"/>
  <c r="T66" i="68" s="1"/>
  <c r="Q65" i="68"/>
  <c r="T65" i="68" s="1"/>
  <c r="J64" i="68"/>
  <c r="K64" i="68" s="1"/>
  <c r="I64" i="68"/>
  <c r="M62" i="68"/>
  <c r="G62" i="68"/>
  <c r="F62" i="68"/>
  <c r="F72" i="68" s="1"/>
  <c r="E62" i="68"/>
  <c r="E72" i="68" s="1"/>
  <c r="D62" i="68"/>
  <c r="D72" i="68" s="1"/>
  <c r="P61" i="68"/>
  <c r="N61" i="68"/>
  <c r="I61" i="68"/>
  <c r="Q61" i="68" s="1"/>
  <c r="T61" i="68" s="1"/>
  <c r="P60" i="68"/>
  <c r="Q60" i="68" s="1"/>
  <c r="T60" i="68" s="1"/>
  <c r="N60" i="68"/>
  <c r="P59" i="68"/>
  <c r="N59" i="68"/>
  <c r="I59" i="68"/>
  <c r="Q59" i="68" s="1"/>
  <c r="F55" i="68"/>
  <c r="E55" i="68"/>
  <c r="D55" i="68"/>
  <c r="Q51" i="68"/>
  <c r="P50" i="68"/>
  <c r="O50" i="68"/>
  <c r="P49" i="68"/>
  <c r="O49" i="68"/>
  <c r="Q48" i="68"/>
  <c r="Q47" i="68"/>
  <c r="Q46" i="68"/>
  <c r="T45" i="68"/>
  <c r="Q45" i="68"/>
  <c r="P45" i="68"/>
  <c r="U45" i="68" s="1"/>
  <c r="O45" i="68"/>
  <c r="T44" i="68"/>
  <c r="Q44" i="68"/>
  <c r="P44" i="68"/>
  <c r="O44" i="68"/>
  <c r="K42" i="68"/>
  <c r="G42" i="68"/>
  <c r="F42" i="68"/>
  <c r="L42" i="68" s="1"/>
  <c r="E42" i="68"/>
  <c r="D42" i="68"/>
  <c r="N41" i="68"/>
  <c r="L41" i="68"/>
  <c r="J41" i="68"/>
  <c r="N40" i="68"/>
  <c r="L40" i="68"/>
  <c r="J40" i="68"/>
  <c r="H40" i="68"/>
  <c r="H41" i="68" s="1"/>
  <c r="G40" i="68"/>
  <c r="N38" i="68"/>
  <c r="L38" i="68"/>
  <c r="F36" i="68"/>
  <c r="E36" i="68"/>
  <c r="D36" i="68"/>
  <c r="P35" i="68"/>
  <c r="O35" i="68"/>
  <c r="P34" i="68"/>
  <c r="O34" i="68"/>
  <c r="J32" i="68"/>
  <c r="E32" i="68"/>
  <c r="E56" i="68" s="1"/>
  <c r="L9" i="68" s="1"/>
  <c r="D32" i="68"/>
  <c r="D56" i="68" s="1"/>
  <c r="O28" i="68"/>
  <c r="F28" i="68"/>
  <c r="F20" i="6" s="1"/>
  <c r="O27" i="68"/>
  <c r="O26" i="68"/>
  <c r="O25" i="68"/>
  <c r="O24" i="68"/>
  <c r="O23" i="68"/>
  <c r="O22" i="68"/>
  <c r="O21" i="68"/>
  <c r="O20" i="68"/>
  <c r="F20" i="68"/>
  <c r="K20" i="68" s="1"/>
  <c r="O19" i="68"/>
  <c r="F19" i="68"/>
  <c r="K19" i="68" s="1"/>
  <c r="O18" i="68"/>
  <c r="F18" i="68"/>
  <c r="K18" i="68" s="1"/>
  <c r="O17" i="68"/>
  <c r="F17" i="68"/>
  <c r="K17" i="68" s="1"/>
  <c r="O16" i="68"/>
  <c r="M16" i="68"/>
  <c r="J13" i="68"/>
  <c r="J11" i="68"/>
  <c r="D10" i="68"/>
  <c r="F10" i="68" s="1"/>
  <c r="F8" i="68" s="1"/>
  <c r="F7" i="68"/>
  <c r="D75" i="68" s="1"/>
  <c r="E5" i="68"/>
  <c r="H4" i="68"/>
  <c r="H3" i="68"/>
  <c r="H1" i="68"/>
  <c r="E1" i="68"/>
  <c r="C1" i="68"/>
  <c r="H5" i="68" l="1"/>
  <c r="G18" i="68"/>
  <c r="M18" i="68" s="1"/>
  <c r="I71" i="68"/>
  <c r="P62" i="68"/>
  <c r="O62" i="68" s="1"/>
  <c r="O36" i="68"/>
  <c r="N42" i="68"/>
  <c r="M42" i="68" s="1"/>
  <c r="G20" i="68"/>
  <c r="M20" i="68" s="1"/>
  <c r="G28" i="68"/>
  <c r="M28" i="68" s="1"/>
  <c r="K3" i="68"/>
  <c r="P36" i="68"/>
  <c r="O38" i="68"/>
  <c r="R45" i="68"/>
  <c r="P40" i="68"/>
  <c r="U40" i="68" s="1"/>
  <c r="F19" i="6"/>
  <c r="L7" i="68"/>
  <c r="J7" i="68" s="1"/>
  <c r="K4" i="68" s="1"/>
  <c r="J9" i="68"/>
  <c r="Q62" i="68"/>
  <c r="T59" i="68"/>
  <c r="T62" i="68" s="1"/>
  <c r="D77" i="68"/>
  <c r="E77" i="68" s="1"/>
  <c r="D76" i="68"/>
  <c r="E76" i="68" s="1"/>
  <c r="D86" i="68"/>
  <c r="E86" i="68" s="1"/>
  <c r="O41" i="68"/>
  <c r="I41" i="68"/>
  <c r="P41" i="68"/>
  <c r="U41" i="68" s="1"/>
  <c r="T41" i="68" s="1"/>
  <c r="G17" i="68"/>
  <c r="G19" i="68"/>
  <c r="M19" i="68" s="1"/>
  <c r="F32" i="68"/>
  <c r="P38" i="68"/>
  <c r="O40" i="68"/>
  <c r="T40" i="68"/>
  <c r="R44" i="68"/>
  <c r="U44" i="68"/>
  <c r="I62" i="68"/>
  <c r="I72" i="68" s="1"/>
  <c r="N62" i="68"/>
  <c r="Q64" i="68"/>
  <c r="O42" i="68" l="1"/>
  <c r="P42" i="68"/>
  <c r="U38" i="68"/>
  <c r="K32" i="68"/>
  <c r="F56" i="68"/>
  <c r="G32" i="68"/>
  <c r="G56" i="68" s="1"/>
  <c r="H9" i="68" s="1"/>
  <c r="H7" i="68" s="1"/>
  <c r="M17" i="68"/>
  <c r="M32" i="68" s="1"/>
  <c r="Q71" i="68"/>
  <c r="T64" i="68"/>
  <c r="T71" i="68" s="1"/>
  <c r="T72" i="68" s="1"/>
  <c r="D84" i="68"/>
  <c r="Q72" i="68"/>
  <c r="N9" i="68" l="1"/>
  <c r="N7" i="68" s="1"/>
  <c r="D9" i="68"/>
  <c r="D7" i="68" s="1"/>
  <c r="T38" i="68"/>
  <c r="T42" i="68" s="1"/>
  <c r="U4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12" i="67"/>
  <c r="F10" i="67"/>
  <c r="E8" i="67"/>
  <c r="B11" i="67"/>
  <c r="F9" i="67"/>
  <c r="E10" i="67"/>
  <c r="B10" i="67"/>
  <c r="B14" i="67"/>
  <c r="F13" i="67"/>
  <c r="E9" i="67"/>
  <c r="F11" i="67"/>
  <c r="E13" i="67"/>
  <c r="F8" i="67"/>
  <c r="F14" i="67"/>
  <c r="B13" i="67"/>
  <c r="E14" i="67"/>
  <c r="E11" i="67"/>
  <c r="B8" i="67"/>
  <c r="F12"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5" i="65"/>
  <c r="N6" i="65"/>
  <c r="J6" i="65"/>
  <c r="N4" i="65"/>
  <c r="C4" i="65" l="1"/>
  <c r="B39" i="1" s="1"/>
  <c r="I4" i="65"/>
  <c r="I3" i="65"/>
  <c r="J3" i="65"/>
  <c r="J4" i="65"/>
  <c r="J7" i="65"/>
  <c r="I5" i="65"/>
  <c r="J5" i="65"/>
  <c r="I6" i="65"/>
  <c r="I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J15" i="39" s="1"/>
  <c r="AC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F25" i="37" s="1"/>
  <c r="AA25" i="37" s="1"/>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Q25" i="37"/>
  <c r="Z25" i="37"/>
  <c r="J25" i="37"/>
  <c r="W25" i="37" s="1"/>
  <c r="Q23" i="37"/>
  <c r="Z23" i="37"/>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s="1"/>
  <c r="B59" i="36"/>
  <c r="B57" i="36"/>
  <c r="H12" i="36" s="1"/>
  <c r="U12" i="36" s="1"/>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F12" i="35" s="1"/>
  <c r="B131" i="34"/>
  <c r="B129" i="34"/>
  <c r="B127" i="34"/>
  <c r="B99" i="34"/>
  <c r="B97" i="34"/>
  <c r="B95" i="34"/>
  <c r="B93" i="34"/>
  <c r="B75" i="34"/>
  <c r="B73" i="34"/>
  <c r="B71" i="34"/>
  <c r="B130" i="33"/>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Q33" i="35"/>
  <c r="Z33" i="35"/>
  <c r="Q32" i="35"/>
  <c r="Z32" i="35"/>
  <c r="H32" i="35"/>
  <c r="AB32" i="35" s="1"/>
  <c r="F32" i="35"/>
  <c r="AA32" i="35" s="1"/>
  <c r="Q31" i="35"/>
  <c r="Z31" i="35"/>
  <c r="AB31" i="35"/>
  <c r="AA31" i="35"/>
  <c r="Q30" i="35"/>
  <c r="Z30" i="35" s="1"/>
  <c r="Q29" i="35"/>
  <c r="Z29" i="35" s="1"/>
  <c r="Q28" i="35"/>
  <c r="Z28" i="35" s="1"/>
  <c r="J28" i="35"/>
  <c r="H28" i="35"/>
  <c r="F28" i="35"/>
  <c r="AA28" i="35" s="1"/>
  <c r="Q27" i="35"/>
  <c r="Z27" i="35" s="1"/>
  <c r="Q26" i="35"/>
  <c r="Z26" i="35" s="1"/>
  <c r="Q25" i="35"/>
  <c r="Z25" i="35" s="1"/>
  <c r="Q24" i="35"/>
  <c r="Z24" i="35"/>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H30" i="21" s="1"/>
  <c r="B94" i="21"/>
  <c r="F29" i="21" s="1"/>
  <c r="S29" i="21" s="1"/>
  <c r="B92" i="21"/>
  <c r="B90" i="21"/>
  <c r="B74" i="21"/>
  <c r="J14" i="21" s="1"/>
  <c r="W14" i="21" s="1"/>
  <c r="B72" i="21"/>
  <c r="B70" i="21"/>
  <c r="F12" i="21" s="1"/>
  <c r="AA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W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U30" i="37"/>
  <c r="E103" i="37"/>
  <c r="F103" i="37"/>
  <c r="F39" i="37"/>
  <c r="S39" i="37" s="1"/>
  <c r="W39" i="37"/>
  <c r="F29" i="36"/>
  <c r="AA29" i="36" s="1"/>
  <c r="F16" i="36"/>
  <c r="AA16" i="36" s="1"/>
  <c r="U22" i="36"/>
  <c r="W22" i="36"/>
  <c r="U26" i="36"/>
  <c r="AC31" i="36"/>
  <c r="AC27" i="35"/>
  <c r="U31" i="35"/>
  <c r="W24" i="35"/>
  <c r="S31" i="35"/>
  <c r="W31" i="35"/>
  <c r="F36" i="34"/>
  <c r="S36" i="34" s="1"/>
  <c r="W9" i="34"/>
  <c r="S34" i="34"/>
  <c r="H39" i="33"/>
  <c r="AB39" i="33" s="1"/>
  <c r="F26" i="33"/>
  <c r="AA26" i="33" s="1"/>
  <c r="U33" i="33"/>
  <c r="W38" i="33"/>
  <c r="S40" i="33"/>
  <c r="S33" i="33"/>
  <c r="U38" i="33"/>
  <c r="H39" i="37"/>
  <c r="AB39" i="37" s="1"/>
  <c r="AB27" i="35"/>
  <c r="S10" i="40"/>
  <c r="W10" i="40"/>
  <c r="S11" i="40"/>
  <c r="U11" i="40"/>
  <c r="S36" i="40"/>
  <c r="U36" i="40"/>
  <c r="S40" i="39"/>
  <c r="C23" i="39"/>
  <c r="U36" i="39"/>
  <c r="S42" i="39"/>
  <c r="H32" i="33"/>
  <c r="AB32" i="33" s="1"/>
  <c r="H11" i="21"/>
  <c r="U11" i="21" s="1"/>
  <c r="J11" i="21"/>
  <c r="W11" i="21" s="1"/>
  <c r="F100"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F125" i="21"/>
  <c r="G125" i="21" s="1"/>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J44" i="21"/>
  <c r="AC44" i="21" s="1"/>
  <c r="H44" i="21"/>
  <c r="F44" i="21"/>
  <c r="AA44"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AB40" i="37"/>
  <c r="J36" i="37"/>
  <c r="AC36" i="37" s="1"/>
  <c r="G105" i="37"/>
  <c r="AB28" i="36"/>
  <c r="S46" i="21"/>
  <c r="U46" i="21"/>
  <c r="AC14" i="21"/>
  <c r="W31" i="34"/>
  <c r="S46" i="33"/>
  <c r="U36" i="37"/>
  <c r="AB31" i="33"/>
  <c r="AA27" i="33"/>
  <c r="AC28" i="33"/>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BL491" i="3"/>
  <c r="BL483" i="3"/>
  <c r="G16" i="3"/>
  <c r="BL563" i="3"/>
  <c r="BL559" i="3"/>
  <c r="BL555" i="3"/>
  <c r="AZ555" i="3" s="1"/>
  <c r="BL551" i="3"/>
  <c r="BL541" i="3"/>
  <c r="BL533" i="3"/>
  <c r="BL525" i="3"/>
  <c r="G518" i="3"/>
  <c r="G514" i="3"/>
  <c r="G510" i="3"/>
  <c r="BL503" i="3"/>
  <c r="BL495" i="3"/>
  <c r="BL485" i="3"/>
  <c r="G18" i="3"/>
  <c r="BA569" i="3"/>
  <c r="AZ569" i="3" s="1"/>
  <c r="BA565" i="3"/>
  <c r="BA561" i="3"/>
  <c r="BA559" i="3"/>
  <c r="AZ559" i="3" s="1"/>
  <c r="BA557" i="3"/>
  <c r="AZ557" i="3" s="1"/>
  <c r="BA555" i="3"/>
  <c r="BA551" i="3"/>
  <c r="AZ551" i="3" s="1"/>
  <c r="BA545" i="3"/>
  <c r="BA543" i="3"/>
  <c r="BA541" i="3"/>
  <c r="AZ541" i="3" s="1"/>
  <c r="BA531" i="3"/>
  <c r="BA521" i="3"/>
  <c r="BA509" i="3"/>
  <c r="BA505" i="3"/>
  <c r="BA501" i="3"/>
  <c r="AZ501" i="3" s="1"/>
  <c r="BA493" i="3"/>
  <c r="AZ493" i="3" s="1"/>
  <c r="BA487" i="3"/>
  <c r="BA19" i="3"/>
  <c r="BA572"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c r="BQ542" i="3"/>
  <c r="BL542" i="3"/>
  <c r="BQ568" i="3"/>
  <c r="BQ566" i="3"/>
  <c r="BQ564" i="3"/>
  <c r="BL564" i="3"/>
  <c r="BQ562" i="3"/>
  <c r="BL562" i="3" s="1"/>
  <c r="AZ562" i="3" s="1"/>
  <c r="BQ560" i="3"/>
  <c r="BL560" i="3" s="1"/>
  <c r="AZ560" i="3" s="1"/>
  <c r="BQ558" i="3"/>
  <c r="BL558" i="3"/>
  <c r="BQ556" i="3"/>
  <c r="BL556" i="3" s="1"/>
  <c r="AZ556" i="3" s="1"/>
  <c r="BQ554" i="3"/>
  <c r="BQ552" i="3"/>
  <c r="BL552" i="3" s="1"/>
  <c r="BQ550" i="3"/>
  <c r="BL550" i="3"/>
  <c r="BQ548" i="3"/>
  <c r="BQ546" i="3"/>
  <c r="BL546" i="3" s="1"/>
  <c r="AZ546" i="3" s="1"/>
  <c r="BQ544" i="3"/>
  <c r="BL544" i="3"/>
  <c r="AZ544" i="3" s="1"/>
  <c r="G544" i="3"/>
  <c r="G538" i="3"/>
  <c r="G534" i="3"/>
  <c r="G530" i="3"/>
  <c r="G526" i="3"/>
  <c r="G522" i="3"/>
  <c r="BQ540" i="3"/>
  <c r="BL540" i="3" s="1"/>
  <c r="AZ540" i="3" s="1"/>
  <c r="BQ538" i="3"/>
  <c r="BL538" i="3"/>
  <c r="BQ536" i="3"/>
  <c r="BQ534" i="3"/>
  <c r="BL534" i="3" s="1"/>
  <c r="AZ534" i="3" s="1"/>
  <c r="BQ532" i="3"/>
  <c r="BL532" i="3"/>
  <c r="BQ530" i="3"/>
  <c r="BQ528" i="3"/>
  <c r="BQ526" i="3"/>
  <c r="BL526" i="3"/>
  <c r="BQ524" i="3"/>
  <c r="BL524" i="3" s="1"/>
  <c r="AZ524" i="3" s="1"/>
  <c r="BQ522" i="3"/>
  <c r="BQ520" i="3"/>
  <c r="BL520" i="3" s="1"/>
  <c r="BQ518" i="3"/>
  <c r="BQ516" i="3"/>
  <c r="BL516" i="3"/>
  <c r="BQ514" i="3"/>
  <c r="BL514" i="3" s="1"/>
  <c r="AZ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BQ490" i="3"/>
  <c r="BQ488" i="3"/>
  <c r="BL488" i="3"/>
  <c r="BQ486" i="3"/>
  <c r="BQ484" i="3"/>
  <c r="BL484" i="3" s="1"/>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D3" i="21"/>
  <c r="AC33" i="36"/>
  <c r="W23" i="35"/>
  <c r="S27" i="37"/>
  <c r="U39" i="37"/>
  <c r="AC8" i="37"/>
  <c r="S25" i="37"/>
  <c r="AC36" i="34"/>
  <c r="AB8" i="34"/>
  <c r="AC37" i="33"/>
  <c r="AA13" i="33"/>
  <c r="AC45" i="33"/>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s="1"/>
  <c r="G90" i="40"/>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c r="G328" i="3"/>
  <c r="BA329" i="3"/>
  <c r="G337" i="3"/>
  <c r="BL338" i="3"/>
  <c r="AZ338" i="3" s="1"/>
  <c r="G339" i="3"/>
  <c r="BL340" i="3"/>
  <c r="BA342" i="3"/>
  <c r="AZ342" i="3"/>
  <c r="BA343" i="3"/>
  <c r="BL343" i="3"/>
  <c r="AZ343" i="3"/>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c r="G116" i="3"/>
  <c r="BA118" i="3"/>
  <c r="AZ118" i="3"/>
  <c r="BL119" i="3"/>
  <c r="AZ119" i="3"/>
  <c r="G120" i="3"/>
  <c r="BA122" i="3"/>
  <c r="AZ122" i="3"/>
  <c r="BL123" i="3"/>
  <c r="AZ123" i="3" s="1"/>
  <c r="G124" i="3"/>
  <c r="BA126" i="3"/>
  <c r="AZ126" i="3"/>
  <c r="BL127" i="3"/>
  <c r="G128" i="3"/>
  <c r="BA130" i="3"/>
  <c r="AZ130" i="3"/>
  <c r="BL131" i="3"/>
  <c r="G132" i="3"/>
  <c r="BA134" i="3"/>
  <c r="BL135" i="3"/>
  <c r="AZ135" i="3"/>
  <c r="G136" i="3"/>
  <c r="BA138" i="3"/>
  <c r="AZ138" i="3"/>
  <c r="BL139" i="3"/>
  <c r="AZ139" i="3"/>
  <c r="G140" i="3"/>
  <c r="BA142" i="3"/>
  <c r="AZ142" i="3"/>
  <c r="BL143" i="3"/>
  <c r="AZ143" i="3" s="1"/>
  <c r="G144" i="3"/>
  <c r="BA146" i="3"/>
  <c r="AZ146" i="3"/>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7" i="3"/>
  <c r="AZ51" i="3"/>
  <c r="AZ59" i="3"/>
  <c r="G537" i="3"/>
  <c r="BL181" i="3"/>
  <c r="AZ181" i="3"/>
  <c r="G182" i="3"/>
  <c r="BA184" i="3"/>
  <c r="AZ184" i="3"/>
  <c r="BL185" i="3"/>
  <c r="G186" i="3"/>
  <c r="BA188" i="3"/>
  <c r="AZ188" i="3"/>
  <c r="BL189" i="3"/>
  <c r="AZ189" i="3"/>
  <c r="G190" i="3"/>
  <c r="BA192" i="3"/>
  <c r="AZ192" i="3"/>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AZ339" i="3" s="1"/>
  <c r="G340" i="3"/>
  <c r="G343" i="3"/>
  <c r="BL344" i="3"/>
  <c r="BA346" i="3"/>
  <c r="AZ346" i="3" s="1"/>
  <c r="BA347" i="3"/>
  <c r="BL347" i="3"/>
  <c r="G348" i="3"/>
  <c r="G351" i="3"/>
  <c r="BL352" i="3"/>
  <c r="BA354" i="3"/>
  <c r="AZ354" i="3" s="1"/>
  <c r="BA355" i="3"/>
  <c r="AZ355" i="3" s="1"/>
  <c r="BL355" i="3"/>
  <c r="G356" i="3"/>
  <c r="AZ127" i="3"/>
  <c r="BA358" i="3"/>
  <c r="AZ358" i="3" s="1"/>
  <c r="BA359" i="3"/>
  <c r="AZ359" i="3" s="1"/>
  <c r="BL359" i="3"/>
  <c r="G360" i="3"/>
  <c r="G361" i="3"/>
  <c r="BL362" i="3"/>
  <c r="AZ362" i="3" s="1"/>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G302" i="3"/>
  <c r="BA304" i="3"/>
  <c r="AZ304" i="3"/>
  <c r="BL305" i="3"/>
  <c r="AZ305" i="3" s="1"/>
  <c r="G306" i="3"/>
  <c r="BA308" i="3"/>
  <c r="AZ308" i="3"/>
  <c r="BL309" i="3"/>
  <c r="G310" i="3"/>
  <c r="BA310" i="3"/>
  <c r="BL311" i="3"/>
  <c r="AZ311" i="3" s="1"/>
  <c r="G312" i="3"/>
  <c r="BA312" i="3"/>
  <c r="AZ312" i="3"/>
  <c r="BL313" i="3"/>
  <c r="G314" i="3"/>
  <c r="BA314" i="3"/>
  <c r="AZ314" i="3"/>
  <c r="BL315" i="3"/>
  <c r="AZ315" i="3" s="1"/>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BL337" i="3"/>
  <c r="AZ337" i="3" s="1"/>
  <c r="G338" i="3"/>
  <c r="BA340" i="3"/>
  <c r="AZ340" i="3"/>
  <c r="BL341" i="3"/>
  <c r="AZ341" i="3" s="1"/>
  <c r="G342" i="3"/>
  <c r="BA344" i="3"/>
  <c r="AZ344" i="3"/>
  <c r="BL345" i="3"/>
  <c r="AZ345" i="3" s="1"/>
  <c r="G346" i="3"/>
  <c r="BA348" i="3"/>
  <c r="AZ348" i="3"/>
  <c r="BL349" i="3"/>
  <c r="AZ349" i="3" s="1"/>
  <c r="G350" i="3"/>
  <c r="BA352" i="3"/>
  <c r="AZ352" i="3"/>
  <c r="BL353" i="3"/>
  <c r="G354" i="3"/>
  <c r="BA356" i="3"/>
  <c r="AZ356" i="3"/>
  <c r="BL357" i="3"/>
  <c r="AZ357" i="3" s="1"/>
  <c r="G358" i="3"/>
  <c r="BA362" i="3"/>
  <c r="BL363" i="3"/>
  <c r="G364" i="3"/>
  <c r="BA366" i="3"/>
  <c r="AZ366" i="3"/>
  <c r="BL367" i="3"/>
  <c r="AZ367" i="3" s="1"/>
  <c r="AZ205" i="3"/>
  <c r="AZ209" i="3"/>
  <c r="AZ217" i="3"/>
  <c r="AZ221" i="3"/>
  <c r="AZ229" i="3"/>
  <c r="AZ233" i="3"/>
  <c r="AZ237" i="3"/>
  <c r="AZ241" i="3"/>
  <c r="AZ245" i="3"/>
  <c r="AZ309" i="3"/>
  <c r="AZ333" i="3"/>
  <c r="AZ353" i="3"/>
  <c r="G368" i="3"/>
  <c r="BA370" i="3"/>
  <c r="AZ370" i="3" s="1"/>
  <c r="BL371" i="3"/>
  <c r="AZ371" i="3"/>
  <c r="G372" i="3"/>
  <c r="BA374" i="3"/>
  <c r="BL375" i="3"/>
  <c r="G376" i="3"/>
  <c r="BA378" i="3"/>
  <c r="AZ378" i="3"/>
  <c r="BL379" i="3"/>
  <c r="AZ379" i="3"/>
  <c r="G380" i="3"/>
  <c r="BA382" i="3"/>
  <c r="AZ382" i="3"/>
  <c r="BL383" i="3"/>
  <c r="G384" i="3"/>
  <c r="AZ253" i="3"/>
  <c r="AZ261" i="3"/>
  <c r="AZ265" i="3"/>
  <c r="AZ375" i="3"/>
  <c r="AZ383" i="3"/>
  <c r="AZ270" i="3"/>
  <c r="AZ274" i="3"/>
  <c r="AZ278" i="3"/>
  <c r="AZ282" i="3"/>
  <c r="AZ286"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AA36" i="35"/>
  <c r="H11" i="37"/>
  <c r="AB11" i="37" s="1"/>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AZ539" i="3" s="1"/>
  <c r="BA539" i="3"/>
  <c r="BA538" i="3"/>
  <c r="AZ538" i="3"/>
  <c r="BL537" i="3"/>
  <c r="BA537" i="3"/>
  <c r="BL536" i="3"/>
  <c r="AZ536" i="3"/>
  <c r="BA535" i="3"/>
  <c r="AZ535" i="3"/>
  <c r="BA534" i="3"/>
  <c r="BA533" i="3"/>
  <c r="AZ533" i="3"/>
  <c r="BL531" i="3"/>
  <c r="AZ531" i="3"/>
  <c r="BL530" i="3"/>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s="1"/>
  <c r="BL517" i="3"/>
  <c r="BA517" i="3"/>
  <c r="AZ517" i="3"/>
  <c r="BL515" i="3"/>
  <c r="BA515" i="3"/>
  <c r="BA514" i="3"/>
  <c r="BL513" i="3"/>
  <c r="BA513" i="3"/>
  <c r="AZ513" i="3"/>
  <c r="BL512" i="3"/>
  <c r="AZ512" i="3" s="1"/>
  <c r="BA511" i="3"/>
  <c r="AZ511" i="3"/>
  <c r="BA510" i="3"/>
  <c r="AZ510" i="3" s="1"/>
  <c r="BL509" i="3"/>
  <c r="AZ509" i="3"/>
  <c r="BL507" i="3"/>
  <c r="AZ507" i="3" s="1"/>
  <c r="BA507" i="3"/>
  <c r="BL506" i="3"/>
  <c r="BA506" i="3"/>
  <c r="AZ506" i="3" s="1"/>
  <c r="BL505" i="3"/>
  <c r="AZ505" i="3"/>
  <c r="BL504" i="3"/>
  <c r="BA504" i="3"/>
  <c r="BA503" i="3"/>
  <c r="AZ503" i="3"/>
  <c r="BA500" i="3"/>
  <c r="AZ500" i="3" s="1"/>
  <c r="BL499" i="3"/>
  <c r="BA499" i="3"/>
  <c r="AZ499" i="3"/>
  <c r="BL498" i="3"/>
  <c r="AZ498" i="3"/>
  <c r="BL497" i="3"/>
  <c r="BA497" i="3"/>
  <c r="AZ497" i="3" s="1"/>
  <c r="BL496" i="3"/>
  <c r="BA496" i="3"/>
  <c r="AZ496" i="3"/>
  <c r="BA495" i="3"/>
  <c r="AZ495" i="3" s="1"/>
  <c r="BL494" i="3"/>
  <c r="BA494" i="3"/>
  <c r="AZ494" i="3"/>
  <c r="G494" i="3"/>
  <c r="BA491" i="3"/>
  <c r="AZ491" i="3"/>
  <c r="BL490" i="3"/>
  <c r="AZ490" i="3" s="1"/>
  <c r="BA490" i="3"/>
  <c r="BL489" i="3"/>
  <c r="BA489" i="3"/>
  <c r="AZ489" i="3" s="1"/>
  <c r="BL487" i="3"/>
  <c r="AZ487" i="3"/>
  <c r="BL486" i="3"/>
  <c r="BA486" i="3"/>
  <c r="BA485" i="3"/>
  <c r="AZ485" i="3"/>
  <c r="BA483" i="3"/>
  <c r="AZ483" i="3" s="1"/>
  <c r="BA482" i="3"/>
  <c r="AZ482" i="3"/>
  <c r="BL481" i="3"/>
  <c r="AZ481" i="3" s="1"/>
  <c r="BA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U8" i="21"/>
  <c r="AB8"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AB37" i="34" s="1"/>
  <c r="F15" i="39"/>
  <c r="AA15" i="39" s="1"/>
  <c r="H15" i="39"/>
  <c r="U15" i="39" s="1"/>
  <c r="H25" i="39"/>
  <c r="U25" i="39" s="1"/>
  <c r="J25" i="39"/>
  <c r="AC25" i="39" s="1"/>
  <c r="F25" i="39"/>
  <c r="AA2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388" i="3"/>
  <c r="AZ207" i="3"/>
  <c r="AZ212" i="3"/>
  <c r="AZ215" i="3"/>
  <c r="AZ220" i="3"/>
  <c r="AZ223" i="3"/>
  <c r="AZ228" i="3"/>
  <c r="AZ231" i="3"/>
  <c r="AZ236" i="3"/>
  <c r="AZ255" i="3"/>
  <c r="AZ260" i="3"/>
  <c r="AZ263" i="3"/>
  <c r="AZ268" i="3"/>
  <c r="AZ273" i="3"/>
  <c r="AZ276" i="3"/>
  <c r="AZ281" i="3"/>
  <c r="AZ289" i="3"/>
  <c r="AZ121" i="3"/>
  <c r="AZ124" i="3"/>
  <c r="AZ137" i="3"/>
  <c r="AZ140" i="3"/>
  <c r="AZ152" i="3"/>
  <c r="M7" i="46"/>
  <c r="M11" i="46"/>
  <c r="N3" i="46"/>
  <c r="N6" i="46"/>
  <c r="N10" i="46"/>
  <c r="AZ164" i="3"/>
  <c r="AZ167" i="3"/>
  <c r="AZ177" i="3"/>
  <c r="AZ180" i="3"/>
  <c r="AZ24" i="3"/>
  <c r="AZ32" i="3"/>
  <c r="AZ48" i="3"/>
  <c r="AZ56" i="3"/>
  <c r="AZ63" i="3"/>
  <c r="AZ71" i="3"/>
  <c r="AZ79" i="3"/>
  <c r="AZ91" i="3"/>
  <c r="AZ99" i="3"/>
  <c r="AZ107" i="3"/>
  <c r="AZ112" i="3"/>
  <c r="H47" i="46"/>
  <c r="J13" i="40"/>
  <c r="W13" i="40" s="1"/>
  <c r="F34" i="44"/>
  <c r="F27" i="43"/>
  <c r="F66" i="9"/>
  <c r="P72" i="9" s="1"/>
  <c r="F71" i="9"/>
  <c r="F72" i="9"/>
  <c r="AC14" i="40"/>
  <c r="S33" i="40"/>
  <c r="AB32" i="40"/>
  <c r="S47" i="39"/>
  <c r="U37" i="34"/>
  <c r="AC41" i="40"/>
  <c r="W41" i="40"/>
  <c r="U41" i="40"/>
  <c r="J23" i="40"/>
  <c r="AC23" i="40" s="1"/>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A29" i="35"/>
  <c r="U39" i="39"/>
  <c r="J29" i="39"/>
  <c r="AC29" i="39" s="1"/>
  <c r="AB33" i="36"/>
  <c r="AA11" i="36"/>
  <c r="AA14" i="35"/>
  <c r="S14" i="35"/>
  <c r="G99" i="37"/>
  <c r="F33" i="37" s="1"/>
  <c r="U46" i="34"/>
  <c r="AC30" i="34"/>
  <c r="AA14" i="34"/>
  <c r="W12" i="34"/>
  <c r="U29" i="33"/>
  <c r="AC13" i="33"/>
  <c r="U17" i="34"/>
  <c r="AA11" i="34"/>
  <c r="W32" i="33"/>
  <c r="H15" i="33"/>
  <c r="U15" i="33" s="1"/>
  <c r="AA11" i="33"/>
  <c r="U16" i="40"/>
  <c r="W34" i="40"/>
  <c r="AB42" i="40"/>
  <c r="U42" i="40"/>
  <c r="W32" i="40"/>
  <c r="H25" i="40"/>
  <c r="AB25" i="40" s="1"/>
  <c r="F94" i="40"/>
  <c r="G94" i="40" s="1"/>
  <c r="U47" i="39"/>
  <c r="J37" i="34"/>
  <c r="AC37" i="34" s="1"/>
  <c r="J36" i="33"/>
  <c r="W36" i="33" s="1"/>
  <c r="S41" i="40"/>
  <c r="AB23" i="40"/>
  <c r="H23" i="39"/>
  <c r="AB23" i="39" s="1"/>
  <c r="J23" i="39"/>
  <c r="AC23" i="39" s="1"/>
  <c r="F97" i="39"/>
  <c r="G97" i="39"/>
  <c r="S16" i="39"/>
  <c r="S15" i="34"/>
  <c r="AA41" i="33"/>
  <c r="AA34" i="33"/>
  <c r="F106" i="33"/>
  <c r="G106" i="33" s="1"/>
  <c r="H106" i="33" s="1"/>
  <c r="I106" i="33" s="1"/>
  <c r="J106" i="33" s="1"/>
  <c r="K106" i="33" s="1"/>
  <c r="L106" i="33" s="1"/>
  <c r="M106" i="33" s="1"/>
  <c r="J34" i="33"/>
  <c r="AC34" i="33" s="1"/>
  <c r="U30" i="40"/>
  <c r="W29" i="35"/>
  <c r="AC39" i="39"/>
  <c r="W39" i="39"/>
  <c r="AA39" i="39"/>
  <c r="S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W23" i="40"/>
  <c r="AP11" i="1"/>
  <c r="J51" i="15"/>
  <c r="B11" i="1"/>
  <c r="E11" i="1" s="1"/>
  <c r="K11" i="1"/>
  <c r="M11" i="1" s="1"/>
  <c r="B9" i="1"/>
  <c r="E9" i="1" s="1"/>
  <c r="K9" i="1"/>
  <c r="M9" i="1" s="1"/>
  <c r="B7" i="1"/>
  <c r="E7" i="1" s="1"/>
  <c r="K7" i="1"/>
  <c r="M7" i="1" s="1"/>
  <c r="O7" i="1" s="1"/>
  <c r="P7" i="1" s="1"/>
  <c r="C20" i="43"/>
  <c r="E2" i="65"/>
  <c r="W27" i="39" l="1"/>
  <c r="C18" i="9"/>
  <c r="D18" i="9" s="1"/>
  <c r="M44" i="9" s="1"/>
  <c r="U40" i="39"/>
  <c r="U13" i="39"/>
  <c r="J13" i="39"/>
  <c r="AC13" i="39" s="1"/>
  <c r="F13" i="39"/>
  <c r="U10" i="39"/>
  <c r="H14" i="39"/>
  <c r="AB14" i="39" s="1"/>
  <c r="W14" i="39"/>
  <c r="U21" i="39"/>
  <c r="U19" i="39"/>
  <c r="G91" i="39"/>
  <c r="H17" i="39"/>
  <c r="U17" i="39" s="1"/>
  <c r="J17" i="39"/>
  <c r="W17" i="39" s="1"/>
  <c r="F17" i="39"/>
  <c r="AA17" i="39" s="1"/>
  <c r="S23" i="39"/>
  <c r="AB29" i="39"/>
  <c r="W33" i="39"/>
  <c r="S36" i="39"/>
  <c r="H45" i="39"/>
  <c r="U45" i="39" s="1"/>
  <c r="S43" i="39"/>
  <c r="W43" i="39"/>
  <c r="AB44" i="39"/>
  <c r="AB37" i="39"/>
  <c r="AA37" i="39"/>
  <c r="U34" i="39"/>
  <c r="W15" i="39"/>
  <c r="F11" i="21"/>
  <c r="S11" i="21" s="1"/>
  <c r="AC8" i="21"/>
  <c r="AA43" i="21"/>
  <c r="U43" i="21"/>
  <c r="AB34" i="21"/>
  <c r="S34" i="21"/>
  <c r="S19" i="21"/>
  <c r="U19" i="21"/>
  <c r="U17" i="21"/>
  <c r="S14" i="21"/>
  <c r="S12" i="21"/>
  <c r="H12" i="21"/>
  <c r="J12" i="21"/>
  <c r="AB10" i="21"/>
  <c r="AC33" i="21"/>
  <c r="W42" i="21"/>
  <c r="U42" i="21"/>
  <c r="AA40" i="21"/>
  <c r="U40" i="21"/>
  <c r="AC40" i="21"/>
  <c r="U39" i="21"/>
  <c r="U38" i="21"/>
  <c r="AA38" i="21"/>
  <c r="AA36" i="21"/>
  <c r="AB36" i="21"/>
  <c r="AC36" i="21"/>
  <c r="S35" i="21"/>
  <c r="AC35" i="21"/>
  <c r="AA32" i="21"/>
  <c r="U28" i="21"/>
  <c r="AA28" i="21"/>
  <c r="AA9" i="21"/>
  <c r="W9" i="21"/>
  <c r="S8" i="21"/>
  <c r="AZ520" i="3"/>
  <c r="U30" i="21"/>
  <c r="AB30" i="21"/>
  <c r="AA12" i="35"/>
  <c r="S12" i="35"/>
  <c r="AB25" i="39"/>
  <c r="W40" i="40"/>
  <c r="AB15" i="37"/>
  <c r="U31" i="37"/>
  <c r="AA23" i="37"/>
  <c r="AB43" i="33"/>
  <c r="AZ502" i="3"/>
  <c r="J46" i="21"/>
  <c r="W46" i="21" s="1"/>
  <c r="H14" i="21"/>
  <c r="U9" i="21"/>
  <c r="BA570" i="3"/>
  <c r="AZ570" i="3" s="1"/>
  <c r="BJ5" i="3"/>
  <c r="BF5" i="3"/>
  <c r="H13" i="21"/>
  <c r="J13" i="21"/>
  <c r="AC13" i="21" s="1"/>
  <c r="J45" i="21"/>
  <c r="F45" i="21"/>
  <c r="B73" i="46"/>
  <c r="C29" i="39"/>
  <c r="AA31" i="33"/>
  <c r="S31" i="33"/>
  <c r="AZ389" i="3"/>
  <c r="AZ395" i="3"/>
  <c r="AZ400" i="3"/>
  <c r="AZ406" i="3"/>
  <c r="AZ409" i="3"/>
  <c r="AZ412" i="3"/>
  <c r="AZ447" i="3"/>
  <c r="AC36" i="33"/>
  <c r="U27" i="39"/>
  <c r="AB20" i="35"/>
  <c r="AB34" i="40"/>
  <c r="W35" i="40"/>
  <c r="AB14" i="40"/>
  <c r="AZ572" i="3"/>
  <c r="AZ545" i="3"/>
  <c r="W13" i="36"/>
  <c r="AC13" i="36"/>
  <c r="U31" i="21"/>
  <c r="AB31" i="21"/>
  <c r="BI5" i="3"/>
  <c r="F30" i="21"/>
  <c r="S30" i="21" s="1"/>
  <c r="J30" i="21"/>
  <c r="U40" i="34"/>
  <c r="AB40" i="34"/>
  <c r="AA34" i="35"/>
  <c r="S34" i="35"/>
  <c r="AC16" i="40"/>
  <c r="AC47" i="39"/>
  <c r="AZ542" i="3"/>
  <c r="U44" i="21"/>
  <c r="AB44" i="21"/>
  <c r="G571" i="3"/>
  <c r="H5" i="3"/>
  <c r="AA10" i="21"/>
  <c r="S10" i="21"/>
  <c r="AB9" i="33"/>
  <c r="U9" i="33"/>
  <c r="AC33" i="33"/>
  <c r="W33" i="33"/>
  <c r="U27" i="33"/>
  <c r="AB27" i="33"/>
  <c r="S28" i="34"/>
  <c r="AA28" i="34"/>
  <c r="AC23" i="36"/>
  <c r="W23" i="36"/>
  <c r="J17" i="40"/>
  <c r="F86" i="40"/>
  <c r="G86" i="40" s="1"/>
  <c r="AZ417" i="3"/>
  <c r="AZ420" i="3"/>
  <c r="AZ451" i="3"/>
  <c r="AC23" i="37"/>
  <c r="U30" i="33"/>
  <c r="S12" i="33"/>
  <c r="AA12" i="33"/>
  <c r="U45" i="33"/>
  <c r="AB45" i="33"/>
  <c r="H12" i="35"/>
  <c r="J12" i="35"/>
  <c r="J35" i="35"/>
  <c r="F35" i="35"/>
  <c r="S35" i="35" s="1"/>
  <c r="AZ413" i="3"/>
  <c r="AZ421" i="3"/>
  <c r="AZ427" i="3"/>
  <c r="AZ429" i="3"/>
  <c r="AZ437" i="3"/>
  <c r="BL461" i="3"/>
  <c r="AZ461" i="3" s="1"/>
  <c r="BA464" i="3"/>
  <c r="BA465" i="3"/>
  <c r="AZ465" i="3" s="1"/>
  <c r="G468" i="3"/>
  <c r="BA469" i="3"/>
  <c r="AZ469" i="3" s="1"/>
  <c r="BA470" i="3"/>
  <c r="AZ470" i="3" s="1"/>
  <c r="G474" i="3"/>
  <c r="BL474" i="3"/>
  <c r="AZ474" i="3" s="1"/>
  <c r="G479" i="3"/>
  <c r="BL479" i="3"/>
  <c r="AZ479" i="3" s="1"/>
  <c r="BL480" i="3"/>
  <c r="AZ480" i="3" s="1"/>
  <c r="BA318" i="3"/>
  <c r="AZ318" i="3" s="1"/>
  <c r="AZ206" i="3"/>
  <c r="H9" i="36"/>
  <c r="AB9" i="36" s="1"/>
  <c r="A30" i="64"/>
  <c r="A30" i="51"/>
  <c r="AZ472" i="3"/>
  <c r="BL306" i="3"/>
  <c r="AZ306" i="3" s="1"/>
  <c r="G307" i="3"/>
  <c r="AZ218" i="3"/>
  <c r="AZ222" i="3"/>
  <c r="AC34" i="36"/>
  <c r="W39" i="34"/>
  <c r="U34" i="35"/>
  <c r="W36" i="35"/>
  <c r="H23" i="36"/>
  <c r="AB23" i="36" s="1"/>
  <c r="BA459" i="3"/>
  <c r="AZ459" i="3" s="1"/>
  <c r="G463" i="3"/>
  <c r="BL463" i="3"/>
  <c r="AZ463" i="3" s="1"/>
  <c r="BL464" i="3"/>
  <c r="BL469" i="3"/>
  <c r="BL310" i="3"/>
  <c r="AZ310" i="3" s="1"/>
  <c r="BA313" i="3"/>
  <c r="AZ313" i="3" s="1"/>
  <c r="G317" i="3"/>
  <c r="G320" i="3"/>
  <c r="BA325" i="3"/>
  <c r="AZ325" i="3" s="1"/>
  <c r="AZ386" i="3"/>
  <c r="AZ214" i="3"/>
  <c r="U9" i="34"/>
  <c r="S10" i="36"/>
  <c r="BG5" i="3"/>
  <c r="B65" i="63"/>
  <c r="A14" i="55"/>
  <c r="G458" i="3"/>
  <c r="BA462" i="3"/>
  <c r="AZ462" i="3" s="1"/>
  <c r="G466" i="3"/>
  <c r="BL466" i="3"/>
  <c r="AZ466" i="3" s="1"/>
  <c r="G471" i="3"/>
  <c r="BL471" i="3"/>
  <c r="AZ471" i="3" s="1"/>
  <c r="BL472" i="3"/>
  <c r="G473" i="3"/>
  <c r="BL477" i="3"/>
  <c r="AZ477" i="3" s="1"/>
  <c r="G478" i="3"/>
  <c r="BA301" i="3"/>
  <c r="AZ301" i="3" s="1"/>
  <c r="G305" i="3"/>
  <c r="AZ211" i="3"/>
  <c r="BL213" i="3"/>
  <c r="AZ213" i="3" s="1"/>
  <c r="AZ230" i="3"/>
  <c r="BA234" i="3"/>
  <c r="AZ234" i="3" s="1"/>
  <c r="AZ235" i="3"/>
  <c r="BA239" i="3"/>
  <c r="AZ239" i="3" s="1"/>
  <c r="AZ240" i="3"/>
  <c r="BL244" i="3"/>
  <c r="AZ244" i="3" s="1"/>
  <c r="BL249" i="3"/>
  <c r="AZ249" i="3" s="1"/>
  <c r="AZ262" i="3"/>
  <c r="BA266" i="3"/>
  <c r="AZ266" i="3" s="1"/>
  <c r="AZ267" i="3"/>
  <c r="BA272" i="3"/>
  <c r="AZ272" i="3" s="1"/>
  <c r="BA277" i="3"/>
  <c r="AZ277" i="3" s="1"/>
  <c r="BL287" i="3"/>
  <c r="AZ287" i="3" s="1"/>
  <c r="BL292" i="3"/>
  <c r="AZ292" i="3" s="1"/>
  <c r="BL211" i="3"/>
  <c r="BL219" i="3"/>
  <c r="BL224" i="3"/>
  <c r="AZ224" i="3" s="1"/>
  <c r="BL225" i="3"/>
  <c r="AZ225" i="3" s="1"/>
  <c r="BA242" i="3"/>
  <c r="AZ242" i="3" s="1"/>
  <c r="BA247" i="3"/>
  <c r="AZ247" i="3" s="1"/>
  <c r="BL252" i="3"/>
  <c r="AZ252" i="3" s="1"/>
  <c r="BL257" i="3"/>
  <c r="AZ257" i="3" s="1"/>
  <c r="BA269" i="3"/>
  <c r="AZ269" i="3" s="1"/>
  <c r="AZ271" i="3"/>
  <c r="BL279" i="3"/>
  <c r="AZ279" i="3" s="1"/>
  <c r="BL284" i="3"/>
  <c r="AZ284" i="3" s="1"/>
  <c r="BA290" i="3"/>
  <c r="AZ290" i="3" s="1"/>
  <c r="AZ291" i="3"/>
  <c r="AZ293" i="3"/>
  <c r="AZ219" i="3"/>
  <c r="BL294" i="3"/>
  <c r="AZ294" i="3" s="1"/>
  <c r="G296" i="3"/>
  <c r="AZ116" i="3"/>
  <c r="AZ132" i="3"/>
  <c r="AZ159" i="3"/>
  <c r="AZ117" i="3"/>
  <c r="BL129" i="3"/>
  <c r="AZ129" i="3" s="1"/>
  <c r="BA131" i="3"/>
  <c r="AZ131" i="3" s="1"/>
  <c r="BL159" i="3"/>
  <c r="AZ182" i="3"/>
  <c r="AZ190" i="3"/>
  <c r="AZ198" i="3"/>
  <c r="BA295" i="3"/>
  <c r="AZ295" i="3" s="1"/>
  <c r="AZ125" i="3"/>
  <c r="BL128" i="3"/>
  <c r="AZ128" i="3" s="1"/>
  <c r="BL132" i="3"/>
  <c r="G133" i="3"/>
  <c r="BL134" i="3"/>
  <c r="AZ134" i="3" s="1"/>
  <c r="BA141" i="3"/>
  <c r="AZ141" i="3" s="1"/>
  <c r="BA144" i="3"/>
  <c r="AZ144" i="3" s="1"/>
  <c r="AZ145" i="3"/>
  <c r="AZ148" i="3"/>
  <c r="AZ172" i="3"/>
  <c r="AZ175" i="3"/>
  <c r="G32" i="3"/>
  <c r="BA34" i="3"/>
  <c r="AZ34" i="3" s="1"/>
  <c r="BL36" i="3"/>
  <c r="AZ36" i="3" s="1"/>
  <c r="BL37" i="3"/>
  <c r="G38" i="3"/>
  <c r="G50" i="3"/>
  <c r="G53" i="3"/>
  <c r="BA55" i="3"/>
  <c r="AZ55" i="3" s="1"/>
  <c r="AZ69" i="3"/>
  <c r="AZ75" i="3"/>
  <c r="AZ76" i="3"/>
  <c r="AZ81" i="3"/>
  <c r="AZ83" i="3"/>
  <c r="AZ89" i="3"/>
  <c r="AZ95" i="3"/>
  <c r="AZ96" i="3"/>
  <c r="AZ101" i="3"/>
  <c r="AZ103" i="3"/>
  <c r="AZ109" i="3"/>
  <c r="BA21" i="3"/>
  <c r="AZ21" i="3" s="1"/>
  <c r="BA26" i="3"/>
  <c r="AZ26" i="3" s="1"/>
  <c r="G30" i="3"/>
  <c r="BA31" i="3"/>
  <c r="AZ31" i="3" s="1"/>
  <c r="BL33" i="3"/>
  <c r="AZ33" i="3" s="1"/>
  <c r="BL34" i="3"/>
  <c r="G35" i="3"/>
  <c r="BA37" i="3"/>
  <c r="BA38" i="3"/>
  <c r="AZ38" i="3" s="1"/>
  <c r="G41" i="3"/>
  <c r="G44" i="3"/>
  <c r="BA49" i="3"/>
  <c r="AZ49" i="3" s="1"/>
  <c r="BA52" i="3"/>
  <c r="AZ52" i="3" s="1"/>
  <c r="G56" i="3"/>
  <c r="BL57" i="3"/>
  <c r="AZ57" i="3" s="1"/>
  <c r="AZ64" i="3"/>
  <c r="I21" i="57"/>
  <c r="D1" i="57" s="1"/>
  <c r="E10" i="57" s="1"/>
  <c r="BL25" i="3"/>
  <c r="AZ25" i="3" s="1"/>
  <c r="AZ28" i="3"/>
  <c r="BA29" i="3"/>
  <c r="AZ29" i="3" s="1"/>
  <c r="BA40" i="3"/>
  <c r="AZ40" i="3" s="1"/>
  <c r="BA43" i="3"/>
  <c r="AZ43" i="3" s="1"/>
  <c r="AZ46" i="3"/>
  <c r="AZ60" i="3"/>
  <c r="N73" i="46"/>
  <c r="G14" i="3"/>
  <c r="BL13"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B45" i="46" s="1"/>
  <c r="E58" i="46"/>
  <c r="C52" i="15"/>
  <c r="A4" i="64"/>
  <c r="A4" i="5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44"/>
  <c r="F8" i="15"/>
  <c r="M29" i="15"/>
  <c r="F40" i="44"/>
  <c r="F13" i="15"/>
  <c r="J36" i="15"/>
  <c r="F28" i="44"/>
  <c r="F8" i="44"/>
  <c r="M30" i="44"/>
  <c r="M8" i="15"/>
  <c r="F11" i="44"/>
  <c r="F40" i="15"/>
  <c r="L47" i="15"/>
  <c r="F7" i="15"/>
  <c r="M24" i="44"/>
  <c r="M6" i="15"/>
  <c r="L48" i="44"/>
  <c r="M8" i="44"/>
  <c r="M28" i="44"/>
  <c r="L49" i="44"/>
  <c r="M11" i="44"/>
  <c r="F37" i="15"/>
  <c r="J17" i="44"/>
  <c r="F36" i="15"/>
  <c r="F38" i="44"/>
  <c r="M28" i="15"/>
  <c r="F9" i="44"/>
  <c r="F39" i="44"/>
  <c r="F26" i="15"/>
  <c r="F16" i="15"/>
  <c r="F45" i="44"/>
  <c r="L48" i="15"/>
  <c r="F38" i="15"/>
  <c r="F15" i="44"/>
  <c r="F18" i="44"/>
  <c r="M23" i="15"/>
  <c r="M9" i="15"/>
  <c r="F6" i="15"/>
  <c r="F43" i="15"/>
  <c r="F43" i="44"/>
  <c r="J15" i="15"/>
  <c r="F10" i="44"/>
  <c r="M10" i="44"/>
  <c r="M27" i="15"/>
  <c r="F9" i="15"/>
  <c r="M22" i="15"/>
  <c r="M31" i="44"/>
  <c r="M26" i="44"/>
  <c r="M25" i="44"/>
  <c r="F42" i="15"/>
  <c r="M26" i="15"/>
  <c r="M24" i="15"/>
  <c r="M43" i="9" l="1"/>
  <c r="S17" i="39"/>
  <c r="AB17" i="39"/>
  <c r="S13" i="39"/>
  <c r="AA13" i="39"/>
  <c r="U14" i="39"/>
  <c r="AC17" i="39"/>
  <c r="AA11" i="21"/>
  <c r="AC23" i="21"/>
  <c r="AA15" i="21"/>
  <c r="AC12" i="21"/>
  <c r="W12" i="21"/>
  <c r="U12" i="21"/>
  <c r="AB12" i="21"/>
  <c r="AB11" i="46"/>
  <c r="AB13" i="46" s="1"/>
  <c r="AZ37" i="3"/>
  <c r="U13" i="21"/>
  <c r="AB13" i="21"/>
  <c r="C7" i="46"/>
  <c r="AA45" i="21"/>
  <c r="S45" i="21"/>
  <c r="U14" i="21"/>
  <c r="AB14" i="21"/>
  <c r="AZ464" i="3"/>
  <c r="AC35" i="35"/>
  <c r="W35" i="35"/>
  <c r="W45" i="21"/>
  <c r="AC45" i="21"/>
  <c r="W12" i="35"/>
  <c r="AC12" i="35"/>
  <c r="AC30" i="21"/>
  <c r="W30"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F58" i="15"/>
  <c r="F31" i="15"/>
  <c r="M19" i="44"/>
  <c r="M17" i="15"/>
  <c r="AE7" i="1"/>
  <c r="C15" i="12"/>
  <c r="C16" i="15"/>
  <c r="F41" i="15"/>
  <c r="F46" i="44"/>
  <c r="C18" i="44"/>
  <c r="F107" i="46" l="1"/>
  <c r="K105" i="46"/>
  <c r="C105" i="46"/>
  <c r="K104" i="46"/>
  <c r="J109" i="46"/>
  <c r="J105" i="46"/>
  <c r="Q50" i="68"/>
  <c r="O51" i="68"/>
  <c r="P51" i="68"/>
  <c r="U51" i="68" s="1"/>
  <c r="Q49" i="68"/>
  <c r="O48" i="68"/>
  <c r="P48" i="68"/>
  <c r="U48" i="68" s="1"/>
  <c r="O53" i="68"/>
  <c r="P53" i="68"/>
  <c r="U53" i="68" s="1"/>
  <c r="O47" i="68"/>
  <c r="P47" i="68"/>
  <c r="U47" i="68" s="1"/>
  <c r="O46" i="68"/>
  <c r="P46" i="68"/>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D21" i="12"/>
  <c r="L52" i="44"/>
  <c r="F33" i="12"/>
  <c r="F7" i="67"/>
  <c r="R47" i="68" l="1"/>
  <c r="C34" i="12"/>
  <c r="D33" i="12" s="1"/>
  <c r="C21" i="12"/>
  <c r="S7" i="37"/>
  <c r="AB12" i="39"/>
  <c r="R51" i="68"/>
  <c r="R53" i="68"/>
  <c r="R48" i="68"/>
  <c r="T50" i="68"/>
  <c r="T51" i="68"/>
  <c r="T47" i="68"/>
  <c r="T53" i="68"/>
  <c r="U46" i="68"/>
  <c r="P55" i="68"/>
  <c r="R49" i="68"/>
  <c r="Q55" i="68"/>
  <c r="U49" i="68"/>
  <c r="U50" i="68"/>
  <c r="R50" i="68"/>
  <c r="T49" i="68"/>
  <c r="T48" i="68"/>
  <c r="R46" i="68"/>
  <c r="O55" i="68"/>
  <c r="T46" i="68"/>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E7" i="67"/>
  <c r="T55" i="68" l="1"/>
  <c r="U5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C13" i="12"/>
  <c r="D22" i="12"/>
  <c r="B2" i="21" l="1"/>
  <c r="C10"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C6"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D19" i="9"/>
  <c r="C19" i="9"/>
  <c r="B4" i="12"/>
  <c r="L44" i="9" l="1"/>
  <c r="L43" i="9"/>
  <c r="D22" i="9"/>
  <c r="G19" i="9"/>
  <c r="C32" i="9" s="1"/>
  <c r="B3" i="40"/>
  <c r="B4" i="40"/>
  <c r="B5" i="40"/>
  <c r="B3" i="39"/>
  <c r="B4" i="39"/>
  <c r="B5" i="39"/>
  <c r="B3" i="12"/>
  <c r="D20" i="9"/>
  <c r="C21" i="9"/>
  <c r="D21" i="9"/>
  <c r="B5" i="12"/>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C104" i="9" s="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Q34" i="68" l="1"/>
  <c r="Q35" i="68"/>
  <c r="U35" i="68" s="1"/>
  <c r="T34" i="68"/>
  <c r="F46" i="9"/>
  <c r="O41" i="9"/>
  <c r="R8" i="54" s="1"/>
  <c r="B54" i="63" s="1"/>
  <c r="O80" i="9"/>
  <c r="I14" i="66"/>
  <c r="B8" i="66" s="1"/>
  <c r="D8" i="66" s="1"/>
  <c r="E46" i="9"/>
  <c r="D46" i="9"/>
  <c r="O81" i="9"/>
  <c r="K34" i="9"/>
  <c r="C8" i="66"/>
  <c r="U34" i="68" l="1"/>
  <c r="U36" i="68" s="1"/>
  <c r="Q36" i="68"/>
  <c r="T35" i="68"/>
  <c r="T36"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戴炜</author>
    <author>郑海霞</author>
    <author>杨雅琴,yangyaqin</author>
    <author>黎耀坤,liyaokun</author>
    <author>汪平</author>
  </authors>
  <commentList>
    <comment ref="J10" authorId="0">
      <text>
        <r>
          <rPr>
            <b/>
            <sz val="9"/>
            <rFont val="宋体"/>
            <family val="3"/>
            <charset val="134"/>
          </rPr>
          <t>戴炜:</t>
        </r>
        <r>
          <rPr>
            <sz val="9"/>
            <rFont val="宋体"/>
            <family val="3"/>
            <charset val="134"/>
          </rPr>
          <t xml:space="preserve">
考展示区入口红线外1000方左右绿化改造</t>
        </r>
      </text>
    </comment>
    <comment ref="C15" authorId="1">
      <text>
        <r>
          <rPr>
            <b/>
            <sz val="9"/>
            <rFont val="宋体"/>
            <family val="3"/>
            <charset val="134"/>
          </rPr>
          <t>郑海霞:</t>
        </r>
        <r>
          <rPr>
            <sz val="9"/>
            <rFont val="宋体"/>
            <family val="3"/>
            <charset val="134"/>
          </rPr>
          <t xml:space="preserve">
C11-C23的产品名称可按产品类型、产品类型加装修标准名称命名，产品类型如下：独立别墅、超豪别墅、双拼别墅、联体别墅、叠拼别墅、多层洋房、小高层洋房、中高层洋房、高层洋房、超高层、公寓、底商、商业街、综合楼、写字楼。装修标准如下：超豪、豪华、精装、精简、毛坯，例如：高层洋房或高层洋房精装。
</t>
        </r>
      </text>
    </comment>
    <comment ref="N15" authorId="1">
      <text>
        <r>
          <rPr>
            <b/>
            <sz val="9"/>
            <rFont val="宋体"/>
            <family val="3"/>
            <charset val="134"/>
          </rPr>
          <t>郑海霞:</t>
        </r>
        <r>
          <rPr>
            <sz val="9"/>
            <rFont val="宋体"/>
            <family val="3"/>
            <charset val="134"/>
          </rPr>
          <t xml:space="preserve">
住宅：请填“是”，“否”。
商业：请填“是”，“有产权资产”
“是”代表：分摊非人防地下室亏损成本。
“否”代表：不分摊非人防地下室亏损成本。
“有产权资产”：不分摊非人防亏损，其土地及景观成本会分摊到其他可售产品</t>
        </r>
      </text>
    </comment>
    <comment ref="H33" authorId="1">
      <text>
        <r>
          <rPr>
            <b/>
            <sz val="9"/>
            <rFont val="宋体"/>
            <family val="3"/>
            <charset val="134"/>
          </rPr>
          <t xml:space="preserve">说明：
</t>
        </r>
        <r>
          <rPr>
            <sz val="9"/>
            <rFont val="宋体"/>
            <family val="3"/>
            <charset val="134"/>
          </rPr>
          <t>填写参与分摊的所有期区的总占地面积</t>
        </r>
      </text>
    </comment>
    <comment ref="J33" authorId="1">
      <text>
        <r>
          <rPr>
            <b/>
            <sz val="9"/>
            <rFont val="宋体"/>
            <family val="3"/>
            <charset val="134"/>
          </rPr>
          <t>说明:</t>
        </r>
        <r>
          <rPr>
            <sz val="9"/>
            <rFont val="宋体"/>
            <family val="3"/>
            <charset val="134"/>
          </rPr>
          <t xml:space="preserve">
填写本期占地面积。</t>
        </r>
      </text>
    </comment>
    <comment ref="H37" authorId="1">
      <text>
        <r>
          <rPr>
            <b/>
            <sz val="9"/>
            <rFont val="宋体"/>
            <family val="3"/>
            <charset val="134"/>
          </rPr>
          <t xml:space="preserve">说明：
</t>
        </r>
        <r>
          <rPr>
            <sz val="9"/>
            <rFont val="宋体"/>
            <family val="3"/>
            <charset val="134"/>
          </rPr>
          <t>填写参与分摊的所有期区的总占地面积</t>
        </r>
      </text>
    </comment>
    <comment ref="J37" authorId="1">
      <text>
        <r>
          <rPr>
            <b/>
            <sz val="9"/>
            <rFont val="宋体"/>
            <family val="3"/>
            <charset val="134"/>
          </rPr>
          <t>说明:</t>
        </r>
        <r>
          <rPr>
            <sz val="9"/>
            <rFont val="宋体"/>
            <family val="3"/>
            <charset val="134"/>
          </rPr>
          <t xml:space="preserve">
填写本期占地面积。</t>
        </r>
      </text>
    </comment>
    <comment ref="K39" authorId="2">
      <text>
        <r>
          <rPr>
            <b/>
            <sz val="9"/>
            <rFont val="宋体"/>
            <family val="3"/>
            <charset val="134"/>
          </rPr>
          <t>计容面积200/1.2个</t>
        </r>
        <r>
          <rPr>
            <sz val="9"/>
            <rFont val="宋体"/>
            <family val="3"/>
            <charset val="134"/>
          </rPr>
          <t xml:space="preserve">
</t>
        </r>
      </text>
    </comment>
    <comment ref="G40"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L40" authorId="4">
      <text>
        <r>
          <rPr>
            <b/>
            <sz val="9"/>
            <rFont val="宋体"/>
            <family val="3"/>
            <charset val="134"/>
          </rPr>
          <t>汪平:</t>
        </r>
        <r>
          <rPr>
            <sz val="9"/>
            <rFont val="宋体"/>
            <family val="3"/>
            <charset val="134"/>
          </rPr>
          <t xml:space="preserve">
别墅处地下室无车位，有车位地下室面积约21542m2</t>
        </r>
      </text>
    </comment>
    <comment ref="G41"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H43" authorId="1">
      <text>
        <r>
          <rPr>
            <b/>
            <sz val="9"/>
            <rFont val="宋体"/>
            <family val="3"/>
            <charset val="134"/>
          </rPr>
          <t xml:space="preserve">说明：
</t>
        </r>
        <r>
          <rPr>
            <sz val="9"/>
            <rFont val="宋体"/>
            <family val="3"/>
            <charset val="134"/>
          </rPr>
          <t>填写参与分摊的所有期区的总占地面积</t>
        </r>
      </text>
    </comment>
    <comment ref="J43" authorId="1">
      <text>
        <r>
          <rPr>
            <b/>
            <sz val="9"/>
            <rFont val="宋体"/>
            <family val="3"/>
            <charset val="134"/>
          </rPr>
          <t xml:space="preserve">说明：
</t>
        </r>
        <r>
          <rPr>
            <sz val="9"/>
            <rFont val="宋体"/>
            <family val="3"/>
            <charset val="134"/>
          </rPr>
          <t>填写本期区的占地面积</t>
        </r>
      </text>
    </comment>
    <comment ref="K4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C58" authorId="3">
      <text>
        <r>
          <rPr>
            <b/>
            <sz val="9"/>
            <rFont val="宋体"/>
            <family val="3"/>
            <charset val="134"/>
          </rPr>
          <t xml:space="preserve">各产品插入批注说明所属期区
</t>
        </r>
        <r>
          <rPr>
            <sz val="9"/>
            <rFont val="宋体"/>
            <family val="3"/>
            <charset val="134"/>
          </rPr>
          <t xml:space="preserve">
</t>
        </r>
      </text>
    </comment>
    <comment ref="J58" authorId="1">
      <text>
        <r>
          <rPr>
            <b/>
            <sz val="9"/>
            <rFont val="宋体"/>
            <family val="3"/>
            <charset val="134"/>
          </rPr>
          <t xml:space="preserve">说明：
</t>
        </r>
        <r>
          <rPr>
            <sz val="9"/>
            <rFont val="宋体"/>
            <family val="3"/>
            <charset val="134"/>
          </rPr>
          <t>填写参与分摊的所有期区的总占地面积</t>
        </r>
      </text>
    </comment>
    <comment ref="L58" authorId="1">
      <text>
        <r>
          <rPr>
            <b/>
            <sz val="9"/>
            <rFont val="宋体"/>
            <family val="3"/>
            <charset val="134"/>
          </rPr>
          <t>说明:</t>
        </r>
        <r>
          <rPr>
            <sz val="9"/>
            <rFont val="宋体"/>
            <family val="3"/>
            <charset val="134"/>
          </rPr>
          <t xml:space="preserve">
填写本期占地面积。</t>
        </r>
      </text>
    </comment>
    <comment ref="Q58" authorId="3">
      <text>
        <r>
          <rPr>
            <b/>
            <sz val="9"/>
            <rFont val="宋体"/>
            <family val="3"/>
            <charset val="134"/>
          </rPr>
          <t>黎耀坤,liyaokun:</t>
        </r>
        <r>
          <rPr>
            <sz val="9"/>
            <rFont val="宋体"/>
            <family val="3"/>
            <charset val="134"/>
          </rPr>
          <t xml:space="preserve">
不含增值税收入与成本的亏损分摊金额</t>
        </r>
      </text>
    </comment>
    <comment ref="T58" authorId="3">
      <text>
        <r>
          <rPr>
            <b/>
            <sz val="9"/>
            <rFont val="宋体"/>
            <family val="3"/>
            <charset val="134"/>
          </rPr>
          <t>黎耀坤,liyaokun:</t>
        </r>
        <r>
          <rPr>
            <sz val="9"/>
            <rFont val="宋体"/>
            <family val="3"/>
            <charset val="134"/>
          </rPr>
          <t xml:space="preserve">
不含增值税收入与成本的亏损分摊金额</t>
        </r>
      </text>
    </comment>
    <comment ref="C63" authorId="3">
      <text>
        <r>
          <rPr>
            <b/>
            <sz val="9"/>
            <rFont val="宋体"/>
            <family val="3"/>
            <charset val="134"/>
          </rPr>
          <t xml:space="preserve">各产品插入批注说明所属期区
</t>
        </r>
        <r>
          <rPr>
            <sz val="9"/>
            <rFont val="宋体"/>
            <family val="3"/>
            <charset val="134"/>
          </rPr>
          <t xml:space="preserve">
</t>
        </r>
      </text>
    </comment>
    <comment ref="J63" authorId="1">
      <text>
        <r>
          <rPr>
            <b/>
            <sz val="9"/>
            <rFont val="宋体"/>
            <family val="3"/>
            <charset val="134"/>
          </rPr>
          <t xml:space="preserve">说明：
</t>
        </r>
        <r>
          <rPr>
            <sz val="9"/>
            <rFont val="宋体"/>
            <family val="3"/>
            <charset val="134"/>
          </rPr>
          <t>填写参与分摊的所有期区的总占地面积</t>
        </r>
      </text>
    </comment>
    <comment ref="L63" authorId="1">
      <text>
        <r>
          <rPr>
            <b/>
            <sz val="9"/>
            <rFont val="宋体"/>
            <family val="3"/>
            <charset val="134"/>
          </rPr>
          <t xml:space="preserve">说明：
</t>
        </r>
        <r>
          <rPr>
            <sz val="9"/>
            <rFont val="宋体"/>
            <family val="3"/>
            <charset val="134"/>
          </rPr>
          <t xml:space="preserve">填写本期区的占地面积
</t>
        </r>
      </text>
    </comment>
    <comment ref="M6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Q63" authorId="3">
      <text>
        <r>
          <rPr>
            <b/>
            <sz val="9"/>
            <rFont val="宋体"/>
            <family val="3"/>
            <charset val="134"/>
          </rPr>
          <t>黎耀坤,liyaokun:</t>
        </r>
        <r>
          <rPr>
            <sz val="9"/>
            <rFont val="宋体"/>
            <family val="3"/>
            <charset val="134"/>
          </rPr>
          <t xml:space="preserve">
不含增值税成本分摊金额</t>
        </r>
      </text>
    </comment>
    <comment ref="T63" authorId="3">
      <text>
        <r>
          <rPr>
            <b/>
            <sz val="9"/>
            <rFont val="宋体"/>
            <family val="3"/>
            <charset val="134"/>
          </rPr>
          <t>黎耀坤,liyaokun:</t>
        </r>
        <r>
          <rPr>
            <sz val="9"/>
            <rFont val="宋体"/>
            <family val="3"/>
            <charset val="134"/>
          </rPr>
          <t xml:space="preserve">
不含增值税成本分摊金额</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<sst xmlns="http://schemas.openxmlformats.org/spreadsheetml/2006/main" count="7257" uniqueCount="3218">
  <si>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</si>
  <si>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</si>
  <si>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</si>
  <si>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</si>
  <si>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</si>
  <si>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</si>
  <si>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</si>
  <si>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</si>
  <si>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</si>
  <si>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</si>
  <si>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</si>
  <si>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</si>
  <si>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</si>
  <si>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</si>
  <si>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</si>
  <si>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</si>
  <si>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</si>
  <si>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</si>
  <si>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</si>
  <si>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</si>
  <si>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</si>
  <si>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</si>
  <si>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</si>
  <si>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</si>
  <si>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</si>
  <si>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</si>
  <si>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</si>
  <si>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</si>
  <si>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</si>
  <si>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</si>
  <si>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</si>
  <si>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</si>
  <si>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</si>
  <si>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</si>
  <si>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</si>
  <si>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</si>
  <si>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</si>
  <si>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</si>
  <si>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</si>
  <si>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</si>
  <si>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</si>
  <si>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</si>
  <si>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</si>
  <si>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</si>
  <si>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</si>
  <si>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</si>
  <si>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</si>
  <si>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</si>
  <si>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</si>
  <si>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</si>
  <si>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</si>
  <si>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</si>
  <si>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</si>
  <si>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</si>
  <si>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</si>
  <si>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</si>
  <si>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</si>
  <si>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</si>
  <si>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</si>
  <si>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</si>
  <si>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</si>
  <si>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</si>
  <si>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</si>
  <si>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</si>
  <si>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</si>
  <si>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</si>
  <si>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</si>
  <si>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</si>
  <si>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</si>
  <si>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</si>
  <si>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</si>
  <si>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</si>
  <si>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</si>
  <si>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</si>
  <si>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</si>
  <si>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</si>
  <si>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</si>
  <si>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</si>
  <si>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</si>
  <si>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</si>
  <si>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</si>
  <si>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</si>
  <si>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</si>
  <si>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</si>
  <si>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</si>
  <si>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</si>
  <si>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</si>
  <si>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</si>
  <si>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</si>
  <si>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</si>
  <si>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</si>
  <si>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</si>
  <si>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</si>
  <si>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</si>
  <si>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</si>
  <si>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</si>
  <si>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</si>
  <si>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</si>
  <si>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</si>
  <si>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</si>
  <si>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</si>
  <si>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</si>
  <si>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</si>
  <si>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</si>
  <si>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</si>
  <si>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</si>
  <si>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</si>
  <si>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</si>
  <si>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</si>
  <si>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</si>
  <si>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</si>
  <si>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</si>
  <si>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</si>
  <si>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</si>
  <si>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</si>
  <si>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</si>
  <si>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</si>
  <si>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</si>
  <si>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</si>
  <si>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</si>
  <si>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</si>
  <si>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</si>
  <si>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</si>
  <si>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</si>
  <si>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</si>
  <si>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</si>
  <si>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</si>
  <si>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</si>
  <si>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</si>
  <si>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</si>
  <si>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</si>
  <si>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</si>
  <si>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</si>
  <si>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</si>
  <si>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</si>
  <si>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</si>
  <si>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</si>
  <si>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</si>
  <si>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</si>
  <si>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</si>
  <si>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</si>
  <si>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</si>
  <si>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</si>
  <si>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</si>
  <si>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</si>
  <si>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</si>
  <si>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</si>
  <si>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</si>
  <si>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</si>
  <si>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</si>
  <si>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</si>
  <si>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</si>
  <si>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</si>
  <si>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</si>
  <si>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</si>
  <si>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</si>
  <si>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</si>
  <si>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</si>
  <si>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</si>
  <si>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</si>
  <si>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</si>
  <si>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</si>
  <si>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</si>
  <si>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</si>
  <si>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</si>
  <si>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</si>
  <si>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</si>
  <si>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</si>
  <si>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</si>
  <si>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</si>
  <si>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</si>
  <si>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</si>
  <si>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</si>
  <si>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</si>
  <si>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</si>
  <si>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</si>
  <si>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</si>
  <si>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</si>
  <si>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</si>
  <si>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</si>
  <si>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</si>
  <si>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</si>
  <si>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</si>
  <si>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</si>
  <si>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</si>
  <si>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</si>
  <si>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</si>
  <si>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</si>
  <si>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</si>
  <si>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</si>
  <si>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</si>
  <si>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</si>
  <si>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</si>
  <si>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</si>
  <si>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</si>
  <si>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</si>
  <si>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</si>
  <si>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</si>
  <si>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</si>
  <si>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</si>
  <si>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</si>
  <si>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</si>
  <si>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</si>
  <si>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</si>
  <si>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</si>
  <si>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</si>
  <si>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</si>
  <si>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</si>
  <si>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</si>
  <si>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</si>
  <si>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</si>
  <si>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</si>
  <si>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</si>
  <si>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</si>
  <si>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</si>
  <si>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</si>
  <si>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</si>
  <si>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</si>
  <si>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</si>
  <si>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</si>
  <si>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</si>
  <si>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</si>
  <si>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</si>
  <si>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</si>
  <si>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</si>
  <si>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</si>
  <si>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</si>
  <si>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</si>
  <si>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</si>
  <si>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</si>
  <si>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</si>
  <si>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</si>
  <si>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</si>
  <si>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</si>
  <si>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</si>
  <si>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</si>
  <si>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</si>
  <si>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</si>
  <si>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</si>
  <si>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</si>
  <si>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</si>
  <si>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</si>
  <si>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</si>
  <si>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</si>
  <si>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</si>
  <si>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</si>
  <si>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</si>
  <si>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</si>
  <si>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</si>
  <si>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</si>
  <si>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</si>
  <si>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</si>
  <si>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</si>
  <si>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</si>
  <si>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</si>
  <si>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</si>
  <si>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</si>
  <si>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</si>
  <si>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</si>
  <si>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</si>
  <si>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</si>
  <si>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</si>
  <si>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</si>
  <si>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</si>
  <si>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</si>
  <si>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</si>
  <si>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</si>
  <si>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</si>
  <si>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</si>
  <si>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</si>
  <si>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</si>
  <si>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</si>
  <si>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</si>
  <si>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</si>
  <si>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</si>
  <si>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</si>
  <si>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</si>
  <si>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</si>
  <si>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</si>
  <si>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</si>
  <si>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</si>
  <si>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</si>
  <si>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</si>
  <si>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</si>
  <si>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</si>
  <si>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</si>
  <si>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</si>
  <si>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</si>
  <si>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</si>
  <si>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</si>
  <si>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</si>
  <si>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</si>
  <si>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</si>
  <si>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</si>
  <si>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</si>
  <si>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</si>
  <si>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</si>
  <si>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</si>
  <si>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</si>
  <si>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</si>
  <si>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</si>
  <si>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</si>
  <si>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</si>
  <si>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</si>
  <si>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</si>
  <si>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</si>
  <si>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</si>
  <si>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</si>
  <si>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</si>
  <si>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</si>
  <si>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</si>
  <si>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</si>
  <si>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</si>
  <si>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</si>
  <si>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</si>
  <si>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</si>
  <si>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</si>
  <si>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</si>
  <si>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</si>
  <si>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</si>
  <si>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</si>
  <si>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</si>
  <si>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</si>
  <si>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</si>
  <si>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</si>
  <si>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</si>
  <si>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</si>
  <si>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</si>
  <si>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</si>
  <si>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</si>
  <si>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</si>
  <si>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</si>
  <si>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</si>
  <si>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</si>
  <si>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</si>
  <si>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</si>
  <si>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</si>
  <si>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</si>
  <si>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</si>
  <si>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</si>
  <si>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</si>
  <si>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</si>
  <si>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</si>
  <si>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</si>
  <si>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</si>
  <si>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</si>
  <si>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</si>
  <si>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</si>
  <si>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</si>
  <si>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</si>
  <si>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</si>
  <si>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</si>
  <si>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</si>
  <si>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</si>
  <si>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</si>
  <si>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</si>
  <si>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</si>
  <si>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</si>
  <si>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</si>
  <si>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</si>
  <si>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</si>
  <si>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</si>
  <si>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</si>
  <si>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</si>
  <si>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</si>
  <si>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</si>
  <si>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</si>
  <si>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</si>
  <si>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</si>
  <si>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</si>
  <si>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</si>
  <si>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</si>
  <si>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</si>
  <si>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</si>
  <si>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</si>
  <si>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</si>
  <si>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</si>
  <si>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</si>
  <si>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</si>
  <si>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</si>
  <si>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</si>
  <si>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</si>
  <si>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</si>
  <si>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</si>
  <si>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</si>
  <si>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</si>
  <si>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</si>
  <si>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</si>
  <si>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</si>
  <si>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</si>
  <si>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</si>
  <si>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</si>
  <si>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</si>
  <si>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</si>
  <si>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</si>
  <si>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</si>
  <si>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</si>
  <si>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</si>
  <si>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</si>
  <si>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</si>
  <si>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</si>
  <si>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</si>
  <si>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</si>
  <si>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</si>
  <si>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</si>
  <si>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</si>
  <si>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</si>
  <si>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</si>
  <si>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</si>
  <si>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</si>
  <si>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</si>
  <si>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</si>
  <si>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</si>
  <si>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</si>
  <si>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</si>
  <si>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</si>
  <si>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</si>
  <si>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</si>
  <si>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</si>
  <si>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</si>
  <si>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</si>
  <si>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</si>
  <si>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</si>
  <si>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</si>
  <si>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</si>
  <si>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</si>
  <si>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</si>
  <si>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</si>
  <si>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</si>
  <si>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</si>
  <si>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</si>
  <si>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</si>
  <si>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</si>
  <si>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</si>
  <si>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</si>
  <si>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</si>
  <si>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</si>
  <si>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</si>
  <si>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</si>
  <si>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</si>
  <si>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</si>
  <si>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</si>
  <si>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</si>
  <si>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</si>
  <si>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</si>
  <si>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</si>
  <si>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</si>
  <si>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</si>
  <si>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</si>
  <si>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</si>
  <si>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</si>
  <si>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</si>
  <si>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</si>
  <si>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</si>
  <si>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</si>
  <si>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</si>
  <si>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</si>
  <si>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</si>
  <si>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</si>
  <si>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</si>
  <si>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</si>
  <si>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</si>
  <si>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</si>
  <si>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</si>
  <si>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</si>
  <si>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</si>
  <si>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</si>
  <si>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</si>
  <si>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</si>
  <si>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</si>
  <si>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</si>
  <si>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</si>
  <si>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</si>
  <si>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</si>
  <si>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</si>
  <si>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</si>
  <si>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</si>
  <si>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</si>
  <si>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</si>
  <si>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</si>
  <si>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</si>
  <si>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</si>
  <si>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</si>
  <si>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</si>
  <si>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</si>
  <si>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</si>
  <si>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</si>
  <si>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</si>
  <si>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</si>
  <si>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</si>
  <si>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</si>
  <si>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</si>
  <si>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</si>
  <si>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</si>
  <si>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</si>
  <si>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</si>
  <si>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</si>
  <si>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</si>
  <si>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</si>
  <si>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</si>
  <si>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</si>
  <si>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</si>
  <si>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</si>
  <si>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</si>
  <si>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</si>
  <si>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</si>
  <si>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</si>
  <si>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</si>
  <si>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</si>
  <si>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</si>
  <si>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</si>
  <si>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</si>
  <si>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</si>
  <si>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</si>
  <si>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</si>
  <si>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</si>
  <si>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</si>
  <si>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</si>
  <si>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</si>
  <si>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</si>
  <si>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</si>
  <si>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</si>
  <si>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</si>
  <si>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</si>
  <si>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</si>
  <si>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</si>
  <si>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</si>
  <si>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</si>
  <si>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</si>
  <si>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</si>
  <si>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</si>
  <si>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</si>
  <si>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</si>
  <si>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</si>
  <si>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</si>
  <si>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</si>
  <si>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</si>
  <si>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</si>
  <si>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</si>
  <si>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</si>
  <si>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</si>
  <si>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</si>
  <si>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</si>
  <si>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</si>
  <si>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</si>
  <si>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</si>
  <si>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</si>
  <si>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</si>
  <si>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</si>
  <si>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</si>
  <si>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</si>
  <si>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</si>
  <si>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</si>
  <si>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</si>
  <si>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</si>
  <si>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</si>
  <si>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</si>
  <si>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</si>
  <si>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</si>
  <si>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</si>
  <si>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</si>
  <si>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</si>
  <si>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</si>
  <si>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</si>
  <si>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</si>
  <si>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</si>
  <si>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</si>
  <si>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</si>
  <si>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</si>
  <si>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</si>
  <si>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</si>
  <si>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</si>
  <si>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</si>
  <si>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</si>
  <si>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</si>
  <si>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</si>
  <si>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</si>
  <si>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</si>
  <si>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</si>
  <si>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</si>
  <si>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</si>
  <si>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</si>
  <si>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</si>
  <si>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</si>
  <si>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</si>
  <si>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</si>
  <si>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</si>
  <si>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</si>
  <si>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</si>
  <si>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</si>
  <si>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</si>
  <si>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</si>
  <si>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</si>
  <si>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</si>
  <si>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</si>
  <si>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</si>
  <si>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</si>
  <si>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</si>
  <si>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</si>
  <si>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</si>
  <si>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</si>
  <si>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</si>
  <si>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</si>
  <si>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</si>
  <si>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</si>
  <si>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</si>
  <si>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</si>
  <si>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</si>
  <si>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</si>
  <si>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</si>
  <si>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</si>
  <si>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</si>
  <si>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</si>
  <si>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</si>
  <si>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</si>
  <si>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</si>
  <si>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</si>
  <si>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</si>
  <si>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</si>
  <si>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</si>
  <si>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</si>
  <si>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</si>
  <si>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</si>
  <si>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</si>
  <si>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</si>
  <si>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</si>
  <si>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</si>
  <si>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</si>
  <si>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</si>
  <si>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</si>
  <si>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</si>
  <si>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</si>
  <si>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</si>
  <si>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</si>
  <si>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</si>
  <si>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</si>
  <si>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</si>
  <si>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</si>
  <si>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</si>
  <si>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</si>
  <si>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</si>
  <si>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</si>
  <si>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</si>
  <si>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</si>
  <si>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</si>
  <si>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</si>
  <si>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</si>
  <si>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</si>
  <si>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</si>
  <si>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</si>
  <si>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</si>
  <si>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</si>
  <si>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</si>
  <si>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</si>
  <si>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</si>
  <si>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</si>
  <si>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</si>
  <si>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</si>
  <si>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</si>
  <si>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</si>
  <si>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</si>
  <si>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</si>
  <si>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</si>
  <si>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</si>
  <si>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</si>
  <si>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</si>
  <si>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</si>
  <si>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</si>
  <si>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</si>
  <si>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</si>
  <si>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</si>
  <si>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</si>
  <si>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</si>
  <si>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</si>
  <si>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</si>
  <si>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</si>
  <si>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</si>
  <si>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</si>
  <si>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</si>
  <si>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</si>
  <si>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</si>
  <si>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</si>
  <si>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</si>
  <si>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</si>
  <si>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</si>
  <si>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</si>
  <si>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</si>
  <si>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</si>
  <si>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</si>
  <si>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</si>
  <si>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</si>
  <si>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</si>
  <si>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</si>
  <si>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</si>
  <si>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</si>
  <si>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</si>
  <si>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</si>
  <si>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</si>
  <si>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</si>
  <si>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</si>
  <si>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</si>
  <si>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</si>
  <si>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</si>
  <si>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</si>
  <si>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</si>
  <si>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</si>
  <si>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</si>
  <si>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</si>
  <si>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</si>
  <si>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</si>
  <si>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</si>
  <si>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</si>
  <si>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</si>
  <si>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</si>
  <si>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</si>
  <si>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</si>
  <si>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</si>
  <si>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</si>
  <si>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</si>
  <si>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</si>
  <si>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</si>
  <si>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</si>
  <si>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</si>
  <si>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</si>
  <si>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</si>
  <si>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</si>
  <si>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</si>
  <si>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</si>
  <si>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</si>
  <si>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</si>
  <si>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</si>
  <si>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</si>
  <si>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</si>
  <si>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</si>
  <si>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</si>
  <si>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</si>
  <si>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</si>
  <si>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</si>
  <si>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</si>
  <si>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</si>
  <si>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</si>
  <si>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</si>
  <si>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</si>
  <si>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</si>
  <si>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</si>
  <si>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</si>
  <si>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</si>
  <si>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</si>
  <si>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</si>
  <si>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</si>
  <si>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</si>
  <si>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</si>
  <si>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</si>
  <si>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</si>
  <si>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</si>
  <si>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</si>
  <si>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</si>
  <si>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</si>
  <si>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</si>
  <si>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</si>
  <si>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</si>
  <si>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</si>
  <si>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</si>
  <si>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</si>
  <si>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</si>
  <si>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</si>
  <si>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</si>
  <si>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</si>
  <si>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</si>
  <si>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</si>
  <si>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</si>
  <si>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</si>
  <si>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</si>
  <si>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</si>
  <si>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</si>
  <si>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</si>
  <si>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</si>
  <si>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</si>
  <si>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</si>
  <si>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</si>
  <si>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</si>
  <si>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</si>
  <si>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</si>
  <si>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</si>
  <si>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</si>
  <si>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</si>
  <si>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</si>
  <si>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</si>
  <si>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</si>
  <si>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</si>
  <si>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</si>
  <si>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</si>
  <si>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</si>
  <si>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</si>
  <si>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</si>
  <si>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</si>
  <si>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</si>
  <si>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</si>
  <si>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</si>
  <si>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</si>
  <si>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</si>
  <si>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</si>
  <si>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</si>
  <si>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</si>
  <si>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</si>
  <si>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</si>
  <si>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</si>
  <si>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</si>
  <si>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</si>
  <si>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</si>
  <si>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</si>
  <si>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</si>
  <si>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</si>
  <si>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</si>
  <si>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</si>
  <si>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</si>
  <si>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</si>
  <si>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</si>
  <si>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</si>
  <si>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</si>
  <si>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</si>
  <si>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</si>
  <si>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</si>
  <si>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</si>
  <si>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</si>
  <si>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</si>
  <si>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</si>
  <si>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</si>
  <si>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</si>
  <si>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</si>
  <si>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</si>
  <si>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</si>
  <si>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</si>
  <si>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</si>
  <si>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</si>
  <si>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</si>
  <si>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</si>
  <si>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</si>
  <si>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</si>
  <si>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</si>
  <si>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</si>
  <si>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</si>
  <si>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</si>
  <si>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</si>
  <si>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</si>
  <si>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</si>
  <si>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</si>
  <si>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</si>
  <si>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</si>
  <si>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</si>
  <si>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</si>
  <si>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</si>
  <si>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</si>
  <si>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</si>
  <si>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</si>
  <si>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</si>
  <si>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</si>
  <si>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</si>
  <si>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</si>
  <si>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</si>
  <si>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</si>
  <si>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</si>
  <si>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</si>
  <si>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</si>
  <si>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</si>
  <si>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</si>
  <si>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</si>
  <si>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</si>
  <si>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</si>
  <si>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</si>
  <si>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</si>
  <si>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</si>
  <si>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</si>
  <si>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</si>
  <si>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</si>
  <si>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</si>
  <si>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</si>
  <si>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</si>
  <si>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</si>
  <si>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</si>
  <si>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</si>
  <si>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</si>
  <si>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</si>
  <si>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</si>
  <si>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</si>
  <si>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</si>
  <si>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</si>
  <si>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</si>
  <si>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</si>
  <si>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</si>
  <si>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</si>
  <si>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</si>
  <si>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</si>
  <si>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</si>
  <si>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</si>
  <si>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</si>
  <si>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</si>
  <si>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</si>
  <si>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</si>
  <si>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</si>
  <si>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</si>
  <si>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</si>
  <si>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</si>
  <si>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</si>
  <si>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</si>
  <si>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</si>
  <si>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</si>
  <si>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</si>
  <si>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</si>
  <si>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</si>
  <si>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</si>
  <si>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</si>
  <si>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</si>
  <si>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</si>
  <si>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</si>
  <si>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</si>
  <si>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</si>
  <si>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</si>
  <si>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</si>
  <si>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</si>
  <si>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</si>
  <si>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</si>
  <si>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</si>
  <si>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</si>
  <si>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</si>
  <si>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</si>
  <si>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</si>
  <si>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</si>
  <si>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</si>
  <si>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</si>
  <si>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</si>
  <si>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</si>
  <si>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</si>
  <si>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</si>
  <si>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</si>
  <si>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</si>
  <si>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</si>
  <si>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</si>
  <si>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</si>
  <si>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</si>
  <si>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</si>
  <si>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</si>
  <si>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</si>
  <si>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</si>
  <si>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</si>
  <si>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</si>
  <si>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</si>
  <si>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</si>
  <si>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</si>
  <si>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</si>
  <si>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</si>
  <si>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</si>
  <si>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</si>
  <si>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</si>
  <si>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</si>
  <si>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</si>
  <si>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</si>
  <si>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</si>
  <si>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</si>
  <si>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</si>
  <si>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</si>
  <si>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</si>
  <si>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</si>
  <si>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</si>
  <si>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</si>
  <si>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</si>
  <si>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</si>
  <si>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</si>
  <si>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</si>
  <si>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</si>
  <si>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</si>
  <si>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</si>
  <si>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</si>
  <si>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</si>
  <si>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</si>
  <si>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</si>
  <si>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</si>
  <si>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</si>
  <si>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</si>
  <si>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</si>
  <si>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</si>
  <si>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</si>
  <si>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</si>
  <si>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</si>
  <si>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</si>
  <si>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</si>
  <si>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</si>
  <si>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</si>
  <si>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</si>
  <si>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</si>
  <si>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</si>
  <si>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</si>
  <si>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</si>
  <si>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</si>
  <si>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</si>
  <si>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</si>
  <si>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</si>
  <si>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</si>
  <si>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</si>
  <si>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</si>
  <si>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</si>
  <si>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</si>
  <si>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</si>
  <si>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</si>
  <si>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</si>
  <si>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</si>
  <si>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</si>
  <si>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</si>
  <si>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</si>
  <si>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</si>
  <si>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</si>
  <si>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</si>
  <si>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</si>
  <si>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</si>
  <si>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</si>
  <si>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</si>
  <si>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</si>
  <si>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</si>
  <si>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</si>
  <si>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</si>
  <si>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</si>
  <si>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</si>
  <si>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</si>
  <si>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</si>
  <si>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</si>
  <si>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</si>
  <si>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</si>
  <si>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</si>
  <si>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</si>
  <si>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</si>
  <si>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</si>
  <si>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</si>
  <si>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</si>
  <si>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</si>
  <si>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</si>
  <si>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</si>
  <si>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</si>
  <si>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</si>
  <si>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</si>
  <si>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</si>
  <si>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</si>
  <si>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</si>
  <si>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</si>
  <si>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</si>
  <si>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</si>
  <si>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</si>
  <si>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</si>
  <si>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</si>
  <si>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</si>
  <si>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</si>
  <si>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</si>
  <si>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</si>
  <si>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</si>
  <si>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</si>
  <si>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</si>
  <si>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</si>
  <si>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</si>
  <si>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</si>
  <si>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</si>
  <si>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</si>
  <si>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</si>
  <si>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</si>
  <si>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</si>
  <si>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</si>
  <si>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</si>
  <si>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</si>
  <si>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</si>
  <si>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</si>
  <si>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</si>
  <si>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</si>
  <si>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</si>
  <si>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</si>
  <si>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</si>
  <si>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</si>
  <si>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</si>
  <si>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</si>
  <si>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</si>
  <si>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</si>
  <si>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</si>
  <si>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</si>
  <si>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</si>
  <si>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</si>
  <si>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</si>
  <si>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</si>
  <si>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</si>
  <si>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</si>
  <si>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</si>
  <si>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</si>
  <si>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</si>
  <si>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</si>
  <si>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</si>
  <si>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</si>
  <si>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</si>
  <si>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</si>
  <si>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</si>
  <si>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</si>
  <si>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</si>
  <si>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</si>
  <si>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</si>
  <si>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</si>
  <si>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</si>
  <si>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</si>
  <si>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</si>
  <si>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</si>
  <si>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</si>
  <si>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</si>
  <si>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</si>
  <si>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</si>
  <si>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</si>
  <si>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</si>
  <si>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</si>
  <si>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</si>
  <si>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</si>
  <si>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</si>
  <si>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</si>
  <si>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</si>
  <si>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</si>
  <si>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</si>
  <si>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</si>
  <si>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</si>
  <si>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</si>
  <si>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</si>
  <si>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</si>
  <si>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</si>
  <si>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</si>
  <si>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</si>
  <si>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</si>
  <si>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</si>
  <si>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</si>
  <si>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</si>
  <si>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</si>
  <si>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</si>
  <si>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</si>
  <si>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</si>
  <si>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</si>
  <si>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</si>
  <si>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</si>
  <si>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</si>
  <si>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</si>
  <si>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</si>
  <si>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</si>
  <si>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</si>
  <si>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</si>
  <si>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</si>
  <si>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</si>
  <si>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</si>
  <si>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</si>
  <si>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</si>
  <si>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</si>
  <si>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</si>
  <si>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</si>
  <si>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</si>
  <si>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</si>
  <si>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</si>
  <si>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</si>
  <si>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</si>
  <si>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</si>
  <si>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</si>
  <si>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</si>
  <si>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</si>
  <si>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</si>
  <si>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</si>
  <si>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</si>
  <si>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</si>
  <si>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</si>
  <si>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</si>
  <si>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</si>
  <si>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</si>
  <si>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</si>
  <si>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</si>
  <si>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</si>
  <si>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</si>
  <si>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</si>
  <si>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</si>
  <si>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</si>
  <si>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</si>
  <si>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</si>
  <si>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</si>
  <si>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</si>
  <si>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</si>
  <si>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</si>
  <si>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</si>
  <si>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</si>
  <si>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</si>
  <si>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</si>
  <si>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</si>
  <si>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</si>
  <si>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</si>
  <si>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</si>
  <si>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</si>
  <si>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</si>
  <si>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</si>
  <si>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</si>
  <si>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</si>
  <si>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</si>
  <si>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</si>
  <si>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</si>
  <si>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</si>
  <si>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</si>
  <si>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</si>
  <si>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</si>
  <si>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</si>
  <si>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</si>
  <si>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</si>
  <si>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</si>
  <si>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</si>
  <si>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</si>
  <si>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</si>
  <si>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</si>
  <si>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</si>
  <si>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</si>
  <si>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</si>
  <si>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</si>
  <si>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</si>
  <si>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</si>
  <si>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</si>
  <si>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</si>
  <si>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</si>
  <si>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</si>
  <si>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</si>
  <si>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</si>
  <si>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</si>
  <si>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</si>
  <si>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</si>
  <si>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</si>
  <si>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</si>
  <si>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</si>
  <si>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</si>
  <si>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</si>
  <si>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</si>
  <si>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</si>
  <si>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</si>
  <si>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</si>
  <si>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</si>
  <si>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</si>
  <si>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</si>
  <si>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</si>
  <si>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</si>
  <si>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</si>
  <si>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</si>
  <si>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</si>
  <si>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</si>
  <si>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</si>
  <si>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</si>
  <si>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</si>
  <si>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</si>
  <si>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</si>
  <si>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</si>
  <si>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</si>
  <si>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</si>
  <si>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</si>
  <si>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</si>
  <si>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</si>
  <si>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</si>
  <si>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</si>
  <si>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</si>
  <si>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</si>
  <si>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</si>
  <si>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</si>
  <si>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</si>
  <si>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</si>
  <si>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</si>
  <si>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</si>
  <si>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</si>
  <si>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</si>
  <si>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</si>
  <si>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</si>
  <si>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</si>
  <si>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</si>
  <si>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</si>
  <si>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</si>
  <si>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</si>
  <si>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</si>
  <si>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</si>
  <si>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</si>
  <si>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</si>
  <si>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</si>
  <si>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</si>
  <si>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</si>
  <si>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</si>
  <si>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</si>
  <si>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</si>
  <si>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</si>
  <si>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</si>
  <si>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</si>
  <si>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</si>
  <si>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</si>
  <si>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</si>
  <si>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</si>
  <si>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</si>
  <si>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</si>
  <si>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</si>
  <si>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</si>
  <si>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</si>
  <si>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</si>
  <si>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</si>
  <si>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</si>
  <si>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</si>
  <si>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</si>
  <si>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</si>
  <si>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</si>
  <si>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</si>
  <si>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</si>
  <si>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</si>
  <si>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</si>
  <si>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</si>
  <si>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</si>
  <si>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</si>
  <si>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</si>
  <si>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</si>
  <si>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</si>
  <si>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</si>
  <si>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</si>
  <si>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</si>
  <si>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</si>
  <si>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</si>
  <si>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</si>
  <si>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</si>
  <si>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</si>
  <si>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</si>
  <si>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</si>
  <si>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</si>
  <si>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</si>
  <si>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</si>
  <si>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</si>
  <si>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</si>
  <si>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</si>
  <si>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</si>
  <si>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</si>
  <si>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</si>
  <si>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</si>
  <si>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</si>
  <si>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</si>
  <si>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</si>
  <si>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</si>
  <si>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</si>
  <si>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</si>
  <si>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</si>
  <si>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</si>
  <si>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</si>
  <si>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</si>
  <si>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</si>
  <si>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</si>
  <si>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</si>
  <si>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</si>
  <si>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</si>
  <si>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</si>
  <si>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</si>
  <si>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</si>
  <si>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</si>
  <si>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</si>
  <si>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</si>
  <si>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</si>
  <si>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</si>
  <si>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</si>
  <si>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</si>
  <si>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</si>
  <si>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</si>
  <si>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</si>
  <si>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</si>
  <si>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</si>
  <si>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</si>
  <si>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</si>
  <si>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</si>
  <si>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</si>
  <si>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</si>
  <si>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</si>
  <si>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</si>
  <si>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</si>
  <si>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</si>
  <si>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</si>
  <si>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</si>
  <si>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</si>
  <si>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</si>
  <si>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</si>
  <si>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</si>
  <si>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</si>
  <si>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</si>
  <si>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</si>
  <si>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</si>
  <si>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</si>
  <si>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</si>
  <si>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</si>
  <si>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</si>
  <si>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</si>
  <si>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</si>
  <si>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</si>
  <si>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</si>
  <si>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</si>
  <si>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</si>
  <si>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</si>
  <si>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</si>
  <si>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</si>
  <si>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</si>
  <si>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</si>
  <si>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</si>
  <si>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</si>
  <si>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</si>
  <si>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</si>
  <si>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</si>
  <si>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</si>
  <si>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</si>
  <si>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</si>
  <si>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</si>
  <si>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</si>
  <si>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</si>
  <si>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</si>
  <si>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</si>
  <si>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</si>
  <si>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</si>
  <si>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</si>
  <si>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</si>
  <si>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</si>
  <si>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</si>
  <si>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</si>
  <si>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</si>
  <si>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</si>
  <si>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</si>
  <si>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</si>
  <si>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</si>
  <si>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</si>
  <si>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</si>
  <si>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</si>
  <si>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</si>
  <si>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</si>
  <si>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</si>
  <si>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</si>
  <si>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</si>
  <si>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</si>
  <si>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</si>
  <si>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</si>
  <si>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</si>
  <si>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</si>
  <si>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</si>
  <si>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</si>
  <si>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</si>
  <si>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</si>
  <si>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</si>
  <si>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</si>
  <si>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</si>
  <si>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</si>
  <si>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</si>
  <si>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</si>
  <si>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</si>
  <si>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</si>
  <si>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</si>
  <si>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</si>
  <si>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</si>
  <si>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</si>
  <si>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</si>
  <si>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</si>
  <si>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</si>
  <si>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</si>
  <si>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</si>
  <si>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</si>
  <si>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</si>
  <si>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</si>
  <si>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</si>
  <si>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</si>
  <si>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</si>
  <si>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</si>
  <si>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</si>
  <si>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</si>
  <si>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</si>
  <si>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</si>
  <si>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</si>
  <si>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</si>
  <si>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</si>
  <si>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</si>
  <si>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</si>
  <si>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</si>
  <si>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</si>
  <si>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</si>
  <si>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</si>
  <si>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</si>
  <si>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</si>
  <si>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</si>
  <si>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</si>
  <si>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</si>
  <si>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</si>
  <si>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</si>
  <si>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</si>
  <si>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</si>
  <si>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</si>
  <si>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</si>
  <si>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</si>
  <si>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</si>
  <si>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</si>
  <si>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</si>
  <si>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</si>
  <si>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</si>
  <si>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</si>
  <si>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</si>
  <si>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</si>
  <si>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</si>
  <si>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</si>
  <si>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</si>
  <si>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</si>
  <si>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</si>
  <si>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</si>
  <si>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</si>
  <si>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</si>
  <si>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</si>
  <si>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</si>
  <si>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</si>
  <si>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</si>
  <si>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</si>
  <si>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</si>
  <si>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</si>
  <si>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</si>
  <si>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</si>
  <si>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</si>
  <si>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</si>
  <si>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</si>
  <si>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</si>
  <si>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</si>
  <si>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</si>
  <si>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</si>
  <si>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</si>
  <si>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</si>
  <si>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</si>
  <si>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</si>
  <si>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</si>
  <si>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</si>
  <si>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</si>
  <si>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</si>
  <si>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</si>
  <si>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</si>
  <si>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</si>
  <si>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</si>
  <si>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</si>
  <si>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</si>
  <si>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</si>
  <si>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</si>
  <si>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</si>
  <si>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</si>
  <si>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</si>
  <si>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</si>
  <si>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</si>
  <si>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</si>
  <si>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</si>
  <si>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</si>
  <si>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</si>
  <si>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</si>
  <si>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</si>
  <si>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</si>
  <si>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</si>
  <si>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</si>
  <si>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</si>
  <si>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</si>
  <si>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</si>
  <si>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</si>
  <si>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</si>
  <si>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</si>
  <si>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</si>
  <si>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</si>
  <si>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</si>
  <si>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</si>
  <si>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</si>
  <si>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</si>
  <si>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</si>
  <si>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</si>
  <si>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</si>
  <si>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</si>
  <si>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</si>
  <si>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</si>
  <si>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</si>
  <si>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</si>
  <si>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</si>
  <si>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</si>
  <si>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</si>
  <si>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</si>
  <si>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</si>
  <si>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</si>
  <si>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</si>
  <si>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</si>
  <si>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</si>
  <si>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</si>
  <si>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</si>
  <si>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</si>
  <si>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</si>
  <si>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</si>
  <si>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</si>
  <si>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</si>
  <si>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</si>
  <si>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</si>
  <si>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</si>
  <si>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</si>
  <si>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</si>
  <si>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</si>
  <si>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</si>
  <si>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</si>
  <si>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</si>
  <si>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</si>
  <si>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</si>
  <si>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</si>
  <si>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</si>
  <si>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</si>
  <si>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</si>
  <si>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</si>
  <si>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</si>
  <si>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</si>
  <si>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</si>
  <si>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</si>
  <si>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</si>
  <si>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</si>
  <si>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</si>
  <si>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</si>
  <si>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</si>
  <si>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</si>
  <si>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</si>
  <si>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</si>
  <si>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</si>
  <si>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</si>
  <si>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</si>
  <si>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</si>
  <si>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</si>
  <si>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</si>
  <si>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</si>
  <si>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</si>
  <si>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</si>
  <si>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</si>
  <si>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</si>
  <si>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</si>
  <si>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</si>
  <si>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</si>
  <si>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</si>
  <si>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</si>
  <si>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</si>
  <si>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</si>
  <si>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</si>
  <si>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</si>
  <si>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</si>
  <si>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</si>
  <si>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</si>
  <si>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</si>
  <si>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</si>
  <si>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</si>
  <si>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</si>
  <si>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</si>
  <si>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</si>
  <si>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</si>
  <si>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</si>
  <si>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</si>
  <si>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</si>
  <si>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</si>
  <si>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</si>
  <si>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</si>
  <si>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</si>
  <si>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</si>
  <si>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</si>
  <si>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</si>
  <si>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</si>
  <si>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</si>
  <si>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</si>
  <si>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</si>
  <si>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</si>
  <si>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</si>
  <si>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</si>
  <si>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</si>
  <si>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</si>
  <si>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</si>
  <si>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</si>
  <si>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</si>
  <si>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</si>
  <si>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</si>
  <si>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</si>
  <si>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</si>
  <si>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</si>
  <si>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</si>
  <si>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</si>
  <si>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</si>
  <si>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</si>
  <si>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</si>
  <si>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</si>
  <si>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</si>
  <si>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</si>
  <si>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</si>
  <si>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</si>
  <si>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</si>
  <si>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</si>
  <si>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</si>
  <si>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</si>
  <si>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</si>
  <si>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</si>
  <si>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</si>
  <si>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</si>
  <si>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</si>
  <si>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</si>
  <si>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</si>
  <si>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</si>
  <si>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</si>
  <si>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</si>
  <si>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</si>
  <si>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</si>
  <si>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</si>
  <si>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</si>
  <si>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</si>
  <si>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</si>
  <si>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</si>
  <si>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</si>
  <si>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</si>
  <si>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</si>
  <si>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</si>
  <si>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</si>
  <si>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</si>
  <si>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</si>
  <si>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</si>
  <si>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</si>
  <si>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</si>
  <si>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</si>
  <si>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</si>
  <si>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</si>
  <si>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</si>
  <si>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</si>
  <si>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</si>
  <si>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</si>
  <si>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</si>
  <si>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</si>
  <si>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</si>
  <si>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</si>
  <si>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</si>
  <si>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</si>
  <si>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</si>
  <si>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</si>
  <si>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</si>
  <si>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</si>
  <si>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</si>
  <si>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</si>
  <si>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</si>
  <si>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</si>
  <si>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</si>
  <si>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</si>
  <si>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</si>
  <si>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</si>
  <si>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</si>
  <si>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</si>
  <si>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</si>
  <si>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</si>
  <si>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</si>
  <si>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</si>
  <si>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</si>
  <si>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</si>
  <si>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</si>
  <si>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</si>
  <si>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</si>
  <si>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</si>
  <si>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</si>
  <si>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</si>
  <si>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</si>
  <si>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</si>
  <si>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</si>
  <si>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</si>
  <si>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</si>
  <si>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</si>
  <si>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</si>
  <si>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</si>
  <si>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</si>
  <si>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</si>
  <si>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</si>
  <si>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</si>
  <si>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</si>
  <si>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</si>
  <si>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</si>
  <si>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</si>
  <si>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</si>
  <si>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</si>
  <si>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</si>
  <si>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</si>
  <si>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</si>
  <si>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</si>
  <si>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</si>
  <si>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</si>
  <si>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</si>
  <si>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</si>
  <si>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</si>
  <si>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</si>
  <si>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</si>
  <si>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</si>
  <si>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</si>
  <si>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</si>
  <si>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</si>
  <si>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</si>
  <si>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</si>
  <si>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</si>
  <si>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</si>
  <si>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</si>
  <si>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</si>
  <si>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</si>
  <si>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</si>
  <si>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</si>
  <si>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</si>
  <si>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</si>
  <si>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</si>
  <si>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</si>
  <si>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</si>
  <si>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</si>
  <si>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</si>
  <si>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</si>
  <si>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</si>
  <si>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</si>
  <si>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</si>
  <si>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</si>
  <si>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</si>
  <si>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</si>
  <si>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</si>
  <si>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</si>
  <si>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</si>
  <si>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</si>
  <si>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</si>
  <si>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</si>
  <si>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</si>
  <si>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</si>
  <si>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</si>
  <si>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</si>
  <si>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</si>
  <si>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</si>
  <si>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</si>
  <si>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</si>
  <si>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</si>
  <si>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</si>
  <si>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</si>
  <si>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</si>
  <si>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</si>
  <si>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</si>
  <si>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</si>
  <si>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</si>
  <si>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</si>
  <si>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</si>
  <si>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</si>
  <si>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</si>
  <si>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</si>
  <si>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</si>
  <si>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</si>
  <si>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</si>
  <si>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</si>
  <si>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</si>
  <si>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</si>
  <si>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</si>
  <si>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</si>
  <si>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</si>
  <si>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</si>
  <si>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</si>
  <si>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</si>
  <si>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</si>
  <si>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</si>
  <si>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</si>
  <si>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</si>
  <si>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</si>
  <si>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</si>
  <si>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</si>
  <si>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</si>
  <si>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</si>
  <si>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</si>
  <si>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</si>
  <si>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</si>
  <si>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</si>
  <si>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</si>
  <si>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</si>
  <si>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</si>
  <si>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</si>
  <si>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</si>
  <si>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</si>
  <si>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</si>
  <si>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</si>
  <si>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</si>
  <si>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</si>
  <si>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</si>
  <si>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</si>
  <si>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</si>
  <si>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</si>
  <si>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</si>
  <si>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</si>
  <si>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</si>
  <si>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</si>
  <si>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</si>
  <si>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</si>
  <si>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</si>
  <si>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</si>
  <si>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</si>
  <si>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</si>
  <si>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</si>
  <si>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</si>
  <si>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</si>
  <si>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</si>
  <si>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</si>
  <si>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</si>
  <si>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</si>
  <si>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</si>
  <si>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</si>
  <si>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</si>
  <si>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</si>
  <si>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</si>
  <si>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</si>
  <si>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</si>
  <si>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</si>
  <si>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</si>
  <si>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</si>
  <si>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</si>
  <si>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</si>
  <si>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</si>
  <si>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</si>
  <si>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</si>
  <si>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</si>
  <si>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</si>
  <si>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</si>
  <si>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</si>
  <si>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</si>
  <si>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</si>
  <si>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</si>
  <si>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</si>
  <si>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</si>
  <si>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</si>
  <si>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</si>
  <si>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</si>
  <si>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</si>
  <si>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</si>
  <si>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</si>
  <si>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</si>
  <si>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</si>
  <si>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</si>
  <si>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</si>
  <si>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</si>
  <si>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</si>
  <si>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</si>
  <si>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</si>
  <si>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</si>
  <si>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</si>
  <si>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</si>
  <si>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</si>
  <si>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</si>
  <si>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</si>
  <si>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</si>
  <si>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</si>
  <si>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</si>
  <si>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</si>
  <si>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</si>
  <si>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</si>
  <si>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</si>
  <si>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</si>
  <si>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</si>
  <si>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</si>
  <si>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</si>
  <si>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</si>
  <si>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</si>
  <si>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</si>
  <si>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</si>
  <si>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</si>
  <si>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</si>
  <si>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</si>
  <si>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</si>
  <si>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</si>
  <si>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</si>
  <si>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</si>
  <si>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</si>
  <si>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</si>
  <si>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</si>
  <si>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</si>
  <si>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</si>
  <si>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</si>
  <si>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</si>
  <si>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</si>
  <si>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</si>
  <si>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</si>
  <si>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</si>
  <si>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</si>
  <si>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</si>
  <si>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</si>
  <si>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</si>
  <si>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</si>
  <si>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</si>
  <si>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</si>
  <si>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</si>
  <si>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</si>
  <si>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</si>
  <si>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</si>
  <si>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</si>
  <si>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</si>
  <si>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</si>
  <si>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</si>
  <si>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</si>
  <si>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</si>
  <si>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</si>
  <si>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</si>
  <si>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</si>
  <si>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</si>
  <si>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</si>
  <si>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</si>
  <si>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</si>
  <si>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</si>
  <si>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</si>
  <si>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</si>
  <si>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</si>
  <si>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</si>
  <si>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</si>
  <si>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</si>
  <si>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</si>
  <si>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</si>
  <si>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</si>
  <si>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</si>
  <si>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</si>
  <si>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</si>
  <si>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</si>
  <si>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</si>
  <si>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</si>
  <si>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</si>
  <si>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</si>
  <si>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</si>
  <si>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</si>
  <si>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</si>
  <si>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</si>
  <si>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</si>
  <si>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</si>
  <si>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</si>
  <si>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</si>
  <si>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</si>
  <si>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</si>
  <si>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</si>
  <si>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</si>
  <si>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</si>
  <si>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</si>
  <si>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</si>
  <si>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</si>
  <si>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</si>
  <si>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</si>
  <si>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</si>
  <si>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</si>
  <si>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</si>
  <si>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</si>
  <si>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</si>
  <si>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</si>
  <si>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</si>
  <si>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</si>
  <si>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</si>
  <si>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</si>
  <si>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</si>
  <si>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</si>
  <si>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</si>
  <si>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</si>
  <si>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</si>
  <si>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</si>
  <si>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</si>
  <si>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</si>
  <si>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</si>
  <si>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</si>
  <si>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</si>
  <si>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</si>
  <si>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</si>
  <si>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</si>
  <si>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</si>
  <si>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</si>
  <si>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</si>
  <si>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</si>
  <si>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</si>
  <si>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</si>
  <si>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</si>
  <si>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</si>
  <si>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</si>
  <si>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</si>
  <si>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</si>
  <si>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</si>
  <si>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</si>
  <si>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</si>
  <si>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</si>
  <si>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</si>
  <si>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</si>
  <si>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</si>
  <si>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</si>
  <si>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</si>
  <si>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</si>
  <si>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</si>
  <si>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</si>
  <si>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</si>
  <si>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</si>
  <si>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</si>
  <si>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</si>
  <si>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</si>
  <si>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</si>
  <si>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</si>
  <si>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</si>
  <si>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</si>
  <si>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</si>
  <si>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</si>
  <si>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</si>
  <si>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</si>
  <si>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</si>
  <si>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</si>
  <si>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</si>
  <si>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</si>
  <si>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</si>
  <si>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</si>
  <si>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</si>
  <si>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</si>
  <si>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</si>
  <si>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</si>
  <si>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</si>
  <si>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</si>
  <si>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</si>
  <si>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</si>
  <si>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</si>
  <si>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</si>
  <si>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</si>
  <si>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</si>
  <si>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</si>
  <si>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</si>
  <si>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</si>
  <si>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</si>
  <si>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</si>
  <si>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</si>
  <si>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</si>
  <si>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</si>
  <si>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</si>
  <si>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</si>
  <si>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</si>
  <si>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</si>
  <si>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</si>
  <si>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</si>
  <si>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</si>
  <si>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</si>
  <si>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</si>
  <si>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</si>
  <si>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</si>
  <si>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</si>
  <si>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</si>
  <si>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</si>
  <si>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</si>
  <si>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</si>
  <si>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</si>
  <si>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</si>
  <si>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</si>
  <si>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</si>
  <si>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</si>
  <si>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</si>
  <si>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</si>
  <si>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</si>
  <si>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</si>
  <si>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</si>
  <si>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</si>
  <si>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</si>
  <si>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</si>
  <si>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</si>
  <si>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</si>
  <si>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</si>
  <si>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</si>
  <si>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</si>
  <si>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</si>
  <si>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</si>
  <si>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</si>
  <si>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</si>
  <si>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</si>
  <si>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</si>
  <si>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</si>
  <si>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</si>
  <si>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</si>
  <si>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</si>
  <si>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</si>
  <si>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</si>
  <si>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</si>
  <si>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</si>
  <si>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</si>
  <si>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</si>
  <si>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</si>
  <si>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</si>
  <si>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</si>
  <si>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</si>
  <si>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</si>
  <si>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</si>
  <si>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</si>
  <si>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</si>
  <si>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</si>
  <si>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</si>
  <si>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</si>
  <si>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</si>
  <si>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</si>
  <si>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</si>
  <si>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</si>
  <si>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</si>
  <si>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</si>
  <si>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</si>
  <si>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</si>
  <si>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</si>
  <si>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</si>
  <si>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</si>
  <si>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</si>
  <si>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</si>
  <si>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</si>
  <si>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</si>
  <si>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</si>
  <si>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</si>
  <si>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</si>
  <si>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</si>
  <si>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</si>
  <si>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</si>
  <si>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</si>
  <si>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</si>
  <si>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</si>
  <si>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</si>
  <si>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</si>
  <si>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</si>
  <si>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</si>
  <si>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</si>
  <si>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</si>
  <si>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</si>
  <si>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</si>
  <si>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</si>
  <si>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</si>
  <si>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</si>
  <si>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</si>
  <si>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</si>
  <si>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</si>
  <si>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</si>
  <si>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</si>
  <si>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</si>
  <si>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</si>
  <si>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</si>
  <si>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</si>
  <si>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</si>
  <si>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</si>
  <si>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</si>
  <si>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</si>
  <si>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</si>
  <si>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</si>
  <si>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</si>
  <si>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</si>
  <si>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</si>
  <si>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</si>
  <si>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</si>
  <si>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</si>
  <si>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</si>
  <si>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</si>
  <si>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</si>
  <si>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</si>
  <si>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</si>
  <si>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</si>
  <si>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</si>
  <si>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</si>
  <si>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</si>
  <si>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</si>
  <si>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</si>
  <si>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</si>
  <si>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</si>
  <si>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</si>
  <si>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</si>
  <si>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</si>
  <si>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</si>
  <si>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</si>
  <si>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</si>
  <si>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</si>
  <si>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</si>
  <si>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</si>
  <si>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</si>
  <si>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</si>
  <si>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</si>
  <si>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</si>
  <si>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</si>
  <si>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</si>
  <si>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</si>
  <si>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</si>
  <si>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</si>
  <si>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</si>
  <si>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</si>
  <si>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</si>
  <si>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</si>
  <si>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</si>
  <si>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</si>
  <si>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</si>
  <si>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</si>
  <si>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</si>
  <si>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</si>
  <si>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</si>
  <si>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</si>
  <si>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</si>
  <si>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</si>
  <si>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</si>
  <si>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</si>
  <si>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</si>
  <si>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</si>
  <si>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</si>
  <si>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</si>
  <si>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</si>
  <si>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</si>
  <si>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</si>
  <si>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</si>
  <si>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</si>
  <si>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</si>
  <si>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</si>
  <si>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</si>
  <si>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</si>
  <si>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</si>
  <si>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</si>
  <si>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</si>
  <si>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</si>
  <si>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</si>
  <si>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</si>
  <si>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</si>
  <si>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</si>
  <si>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</si>
  <si>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</si>
  <si>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</si>
  <si>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</si>
  <si>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</si>
  <si>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</si>
  <si>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</si>
  <si>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</si>
  <si>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</si>
  <si>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</si>
  <si>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</si>
  <si>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</si>
  <si>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</si>
  <si>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</si>
  <si>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</si>
  <si>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</si>
  <si>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</si>
  <si>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</si>
  <si>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</si>
  <si>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</si>
  <si>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</si>
  <si>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</si>
  <si>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</si>
  <si>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</si>
  <si>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</si>
  <si>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</si>
  <si>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</si>
  <si>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</si>
  <si>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</si>
  <si>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</si>
  <si>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</si>
  <si>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</si>
  <si>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</si>
  <si>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</si>
  <si>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</si>
  <si>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</si>
  <si>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</si>
  <si>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</si>
  <si>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</si>
  <si>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</si>
  <si>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</si>
  <si>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</si>
  <si>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</si>
  <si>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</si>
  <si>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</si>
  <si>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</si>
  <si>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</si>
  <si>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</si>
  <si>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</si>
  <si>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</si>
  <si>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</si>
  <si>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</si>
  <si>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</si>
  <si>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</si>
  <si>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</si>
  <si>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</si>
  <si>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</si>
  <si>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</si>
  <si>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</si>
  <si>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</si>
  <si>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</si>
  <si>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</si>
  <si>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</si>
  <si>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</si>
  <si>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</si>
  <si>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</si>
  <si>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</si>
  <si>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</si>
  <si>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</si>
  <si>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</si>
  <si>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</si>
  <si>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</si>
  <si>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</si>
  <si>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</si>
  <si>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</si>
  <si>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</si>
  <si>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</si>
  <si>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</si>
  <si>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</si>
  <si>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</si>
  <si>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</si>
  <si>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</si>
  <si>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</si>
  <si>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</si>
  <si>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</si>
  <si>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</si>
  <si>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</si>
  <si>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</si>
  <si>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</si>
  <si>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</si>
  <si>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</si>
  <si>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</si>
  <si>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</si>
  <si>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</si>
  <si>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</si>
  <si>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</si>
  <si>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</si>
  <si>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</si>
  <si>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</si>
  <si>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</si>
  <si>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</si>
  <si>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</si>
  <si>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</si>
  <si>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</si>
  <si>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</si>
  <si>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</si>
  <si>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</si>
  <si>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</si>
  <si>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</si>
  <si>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</si>
  <si>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</si>
  <si>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</si>
  <si>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</si>
  <si>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</si>
  <si>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</si>
  <si>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</si>
  <si>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</si>
  <si>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</si>
  <si>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</si>
  <si>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</si>
  <si>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</si>
  <si>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</si>
  <si>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</si>
  <si>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</si>
  <si>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</si>
  <si>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</si>
  <si>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</si>
  <si>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</si>
  <si>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</si>
  <si>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</si>
  <si>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</si>
  <si>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</si>
  <si>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</si>
  <si>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</si>
  <si>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</si>
  <si>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</si>
  <si>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</si>
  <si>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</si>
  <si>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</si>
  <si>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</si>
  <si>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</si>
  <si>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</si>
  <si>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</si>
  <si>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</si>
  <si>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</si>
  <si>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</si>
  <si>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</si>
  <si>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</si>
  <si>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</si>
  <si>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</si>
  <si>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</si>
  <si>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</si>
  <si>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</si>
  <si>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</si>
  <si>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</si>
  <si>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</si>
  <si>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</si>
  <si>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</si>
  <si>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</si>
  <si>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</si>
  <si>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</si>
  <si>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</si>
  <si>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</si>
  <si>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</si>
  <si>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</si>
  <si>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</si>
  <si>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</si>
  <si>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</si>
  <si>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</si>
  <si>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</si>
  <si>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</si>
  <si>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</si>
  <si>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</si>
  <si>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</si>
  <si>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</si>
  <si>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</si>
  <si>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</si>
  <si>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</si>
  <si>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</si>
  <si>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</si>
  <si>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</si>
  <si>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</si>
  <si>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</si>
  <si>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</si>
  <si>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</si>
  <si>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</si>
  <si>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</si>
  <si>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</si>
  <si>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</si>
  <si>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</si>
  <si>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</si>
  <si>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</si>
  <si>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</si>
  <si>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</si>
  <si>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</si>
  <si>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</si>
  <si>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</si>
  <si>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</si>
  <si>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</si>
  <si>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</si>
  <si>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</si>
  <si>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</si>
  <si>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</si>
  <si>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</si>
  <si>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</si>
  <si>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</si>
  <si>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</si>
  <si>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</si>
  <si>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</si>
  <si>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</si>
  <si>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</si>
  <si>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</si>
  <si>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</si>
  <si>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</si>
  <si>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</si>
  <si>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</si>
  <si>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</si>
  <si>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</si>
  <si>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</si>
  <si>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</si>
  <si>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</si>
  <si>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</si>
  <si>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</si>
  <si>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</si>
  <si>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</si>
  <si>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</si>
  <si>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</si>
  <si>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</si>
  <si>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</si>
  <si>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</si>
  <si>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</si>
  <si>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</si>
  <si>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</si>
  <si>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</si>
  <si>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</si>
  <si>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</si>
  <si>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</si>
  <si>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</si>
  <si>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</si>
  <si>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</si>
  <si>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</si>
  <si>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</si>
  <si>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</si>
  <si>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</si>
  <si>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</si>
  <si>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</si>
  <si>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</si>
  <si>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</si>
  <si>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</si>
  <si>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</si>
  <si>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</si>
  <si>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</si>
  <si>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</si>
  <si>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</si>
  <si>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</si>
  <si>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</si>
  <si>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</si>
  <si>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</si>
  <si>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</si>
  <si>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</si>
  <si>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</si>
  <si>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</si>
  <si>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</si>
  <si>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</si>
  <si>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</si>
  <si>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</si>
  <si>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</si>
  <si>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</si>
  <si>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</si>
  <si>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</si>
  <si>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</si>
  <si>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</si>
  <si>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</si>
  <si>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</si>
  <si>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</si>
  <si>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</si>
  <si>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</si>
  <si>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</si>
  <si>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</si>
  <si>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</si>
  <si>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</si>
  <si>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</si>
  <si>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</si>
  <si>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</si>
  <si>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</si>
  <si>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</si>
  <si>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</si>
  <si>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</si>
  <si>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</si>
  <si>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</si>
  <si>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</si>
  <si>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</si>
  <si>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</si>
  <si>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</si>
  <si>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</si>
  <si>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</si>
  <si>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</si>
  <si>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</si>
  <si>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</si>
  <si>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</si>
  <si>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</si>
  <si>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</si>
  <si>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</si>
  <si>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</si>
  <si>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</si>
  <si>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</si>
  <si>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</si>
  <si>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</si>
  <si>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</si>
  <si>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</si>
  <si>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</si>
  <si>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</si>
  <si>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</si>
  <si>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</si>
  <si>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</si>
  <si>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</si>
  <si>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</si>
  <si>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</si>
  <si>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</si>
  <si>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</si>
  <si>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</si>
  <si>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</si>
  <si>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</si>
  <si>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</si>
  <si>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</si>
  <si>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</si>
  <si>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</si>
  <si>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</si>
  <si>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</si>
  <si>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</si>
  <si>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</si>
  <si>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</si>
  <si>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</si>
  <si>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</si>
  <si>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</si>
  <si>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</si>
  <si>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</si>
  <si>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</si>
  <si>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</si>
  <si>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</si>
  <si>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</si>
  <si>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</si>
  <si>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</si>
  <si>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</si>
  <si>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</si>
  <si>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</si>
  <si>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</si>
  <si>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</si>
  <si>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</si>
  <si>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</si>
  <si>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</si>
  <si>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</si>
  <si>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</si>
  <si>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</si>
  <si>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</si>
  <si>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</si>
  <si>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</si>
  <si>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</si>
  <si>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</si>
  <si>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</si>
  <si>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</si>
  <si>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</si>
  <si>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</si>
  <si>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</si>
  <si>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</si>
  <si>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</si>
  <si>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</si>
  <si>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</si>
  <si>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</si>
  <si>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</si>
  <si>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</si>
  <si>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</si>
  <si>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</si>
  <si>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</si>
  <si>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</si>
  <si>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</si>
  <si>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</si>
  <si>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</si>
  <si>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</si>
  <si>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</si>
  <si>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</si>
  <si>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</si>
  <si>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</si>
  <si>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</si>
  <si>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</si>
  <si>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</si>
  <si>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</si>
  <si>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</si>
  <si>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</si>
  <si>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</si>
  <si>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</si>
  <si>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</si>
  <si>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</si>
  <si>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</si>
  <si>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</si>
  <si>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</si>
  <si>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</si>
  <si>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</si>
  <si>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</si>
  <si>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</si>
  <si>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</si>
  <si>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</si>
  <si>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</si>
  <si>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</si>
  <si>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</si>
  <si>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</si>
  <si>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</si>
  <si>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</si>
  <si>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</si>
  <si>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</si>
  <si>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</si>
  <si>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</si>
  <si>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</si>
  <si>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</si>
  <si>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</si>
  <si>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</si>
  <si>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</si>
  <si>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</si>
  <si>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</si>
  <si>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</si>
  <si>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</si>
  <si>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</si>
  <si>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</si>
  <si>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</si>
  <si>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</si>
  <si>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</si>
  <si>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</si>
  <si>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</si>
  <si>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</si>
  <si>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</si>
  <si>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</si>
  <si>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</si>
  <si>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</si>
  <si>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</si>
  <si>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</si>
  <si>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</si>
  <si>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</si>
  <si>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</si>
  <si>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</si>
  <si>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</si>
  <si>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</si>
  <si>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</si>
  <si>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</si>
  <si>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</si>
  <si>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</si>
  <si>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</si>
  <si>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</si>
  <si>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</si>
  <si>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</si>
  <si>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</si>
  <si>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</si>
  <si>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</si>
  <si>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</si>
  <si>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</si>
  <si>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</si>
  <si>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</si>
  <si>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</si>
  <si>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</si>
  <si>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</si>
  <si>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</si>
  <si>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</si>
  <si>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</si>
  <si>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</si>
  <si>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</si>
  <si>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</si>
  <si>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</si>
  <si>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</si>
  <si>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</si>
  <si>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</si>
  <si>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</si>
  <si>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</si>
  <si>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</si>
  <si>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</si>
  <si>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</si>
  <si>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</si>
  <si>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</si>
  <si>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</si>
  <si>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</si>
  <si>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</si>
  <si>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</si>
  <si>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</si>
  <si>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</si>
  <si>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</si>
  <si>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</si>
  <si>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</si>
  <si>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</si>
  <si>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</si>
  <si>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</si>
  <si>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</si>
  <si>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</si>
  <si>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</si>
  <si>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</si>
  <si>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</si>
  <si>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</si>
  <si>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</si>
  <si>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</si>
  <si>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</si>
  <si>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</si>
  <si>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</si>
  <si>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</si>
  <si>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</si>
  <si>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</si>
  <si>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</si>
  <si>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</si>
  <si>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</si>
  <si>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</si>
  <si>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</si>
  <si>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</si>
  <si>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</si>
  <si>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</si>
  <si>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</si>
  <si>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</si>
  <si>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</si>
  <si>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</si>
  <si>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</si>
  <si>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</si>
  <si>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</si>
  <si>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</si>
  <si>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</si>
  <si>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</si>
  <si>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</si>
  <si>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</si>
  <si>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</si>
  <si>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</si>
  <si>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</si>
  <si>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</si>
  <si>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</si>
  <si>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</si>
  <si>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</si>
  <si>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</si>
  <si>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</si>
  <si>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</si>
  <si>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</si>
  <si>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</si>
  <si>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</si>
  <si>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</si>
  <si>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</si>
  <si>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</si>
  <si>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</si>
  <si>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</si>
  <si>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</si>
  <si>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</si>
  <si>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</si>
  <si>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</si>
  <si>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</si>
  <si>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</si>
  <si>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</si>
  <si>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</si>
  <si>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</si>
  <si>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</si>
  <si>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</si>
  <si>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</si>
  <si>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</si>
  <si>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</si>
  <si>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</si>
  <si>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</si>
  <si>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</si>
  <si>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</si>
  <si>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</si>
  <si>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</si>
  <si>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</si>
  <si>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</si>
  <si>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</si>
  <si>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</si>
  <si>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</si>
  <si>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</si>
  <si>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</si>
  <si>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</si>
  <si>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</si>
  <si>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</si>
  <si>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</si>
  <si>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</si>
  <si>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</si>
  <si>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</si>
  <si>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</si>
  <si>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</si>
  <si>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</si>
  <si>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</si>
  <si>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</si>
  <si>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</si>
  <si>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</si>
  <si>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</si>
  <si>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</si>
  <si>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</si>
  <si>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</si>
  <si>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</si>
  <si>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</si>
  <si>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</si>
  <si>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</si>
  <si>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</si>
  <si>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</si>
  <si>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</si>
  <si>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</si>
  <si>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</si>
  <si>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</si>
  <si>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</si>
  <si>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</si>
  <si>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</si>
  <si>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</si>
  <si>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</si>
  <si>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</si>
  <si>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</si>
  <si>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</si>
  <si>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</si>
  <si>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</si>
  <si>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</si>
  <si>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</si>
  <si>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</si>
  <si>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</si>
  <si>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</si>
  <si>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</si>
  <si>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</si>
  <si>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</si>
  <si>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</si>
  <si>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</si>
  <si>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</si>
  <si>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</si>
  <si>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</si>
  <si>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</si>
  <si>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</si>
  <si>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</si>
  <si>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</si>
  <si>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</si>
  <si>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</si>
  <si>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</si>
  <si>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</si>
  <si>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</si>
  <si>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</si>
  <si>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</si>
  <si>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</si>
  <si>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</si>
  <si>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</si>
  <si>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</si>
  <si>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</si>
  <si>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</si>
  <si>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</si>
  <si>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</si>
  <si>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</si>
  <si>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</si>
  <si>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</si>
  <si>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</si>
  <si>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</si>
  <si>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</si>
  <si>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</si>
  <si>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</si>
  <si>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</si>
  <si>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</si>
  <si>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</si>
  <si>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</si>
  <si>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</si>
  <si>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</si>
  <si>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</si>
  <si>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</si>
  <si>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</si>
  <si>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</si>
  <si>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</si>
  <si>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</si>
  <si>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</si>
  <si>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</si>
  <si>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</si>
  <si>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</si>
  <si>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</si>
  <si>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</si>
  <si>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</si>
  <si>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</si>
  <si>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梁津</t>
  </si>
  <si>
    <t>王鹏</t>
  </si>
  <si>
    <t>其他：</t>
  </si>
  <si>
    <t>惠州市</t>
    <phoneticPr fontId="6" type="noConversion"/>
  </si>
  <si>
    <t>广东省惠州市大亚湾经济技术开发区霞涌镇乌山头地段</t>
    <phoneticPr fontId="6" type="noConversion"/>
  </si>
  <si>
    <t>企业</t>
  </si>
  <si>
    <t>惠州市金冠置业有限公司</t>
    <phoneticPr fontId="6" type="noConversion"/>
  </si>
  <si>
    <t>住宅</t>
    <phoneticPr fontId="6" type="noConversion"/>
  </si>
  <si>
    <t>[惠湾国用（2012）第号]</t>
    <phoneticPr fontId="6" type="noConversion"/>
  </si>
  <si>
    <t>住宅、商业</t>
    <phoneticPr fontId="6" type="noConversion"/>
  </si>
  <si>
    <t>不一致</t>
  </si>
  <si>
    <t>符合</t>
  </si>
  <si>
    <t>出让</t>
  </si>
  <si>
    <t>商业</t>
  </si>
  <si>
    <t>否</t>
  </si>
  <si>
    <t>平整</t>
  </si>
  <si>
    <t>场地平整</t>
  </si>
  <si>
    <t>抵押</t>
  </si>
  <si>
    <t>抵押价格</t>
  </si>
  <si>
    <t>待定</t>
    <phoneticPr fontId="6" type="noConversion"/>
  </si>
  <si>
    <t>中诚信托</t>
    <phoneticPr fontId="6" type="noConversion"/>
  </si>
  <si>
    <t>居住项目</t>
  </si>
  <si>
    <t>无</t>
  </si>
  <si>
    <t>政府回购？</t>
    <phoneticPr fontId="6" type="noConversion"/>
  </si>
  <si>
    <t>区域</t>
  </si>
  <si>
    <t xml:space="preserve"> 规划经济技术指标</t>
  </si>
  <si>
    <t>契税税率</t>
  </si>
  <si>
    <t>企业所得税预征毛利率</t>
  </si>
  <si>
    <t>土地亩数</t>
  </si>
  <si>
    <t>地块占地面积(㎡)</t>
  </si>
  <si>
    <t>城建税及附加</t>
  </si>
  <si>
    <t>销售费率</t>
  </si>
  <si>
    <t>每亩单价(万元)</t>
  </si>
  <si>
    <t>堤围费</t>
  </si>
  <si>
    <t>管理费率</t>
  </si>
  <si>
    <t>土地价(万元)</t>
  </si>
  <si>
    <t>碧桂园权益比例</t>
  </si>
  <si>
    <t>地块指标</t>
  </si>
  <si>
    <t>全地块指标</t>
  </si>
  <si>
    <t>总建筑面积</t>
  </si>
  <si>
    <t>总占地面积</t>
  </si>
  <si>
    <t>可售面积</t>
  </si>
  <si>
    <t>计容面积</t>
  </si>
  <si>
    <t>不计容面积</t>
  </si>
  <si>
    <t>建筑基底面积</t>
  </si>
  <si>
    <t>室外景观面积</t>
  </si>
  <si>
    <t>红线外景观面积</t>
  </si>
  <si>
    <t>期区划分</t>
  </si>
  <si>
    <t>（本期）
一期地块指标</t>
  </si>
  <si>
    <t>占地面积</t>
  </si>
  <si>
    <t>土质类别</t>
  </si>
  <si>
    <t>二期地块指标</t>
  </si>
  <si>
    <t>三期地块指标</t>
  </si>
  <si>
    <t>本期区产品规划指标</t>
  </si>
  <si>
    <t>产品类型</t>
  </si>
  <si>
    <t>产品</t>
  </si>
  <si>
    <t>室内装修标准</t>
  </si>
  <si>
    <t>层数/标准层高</t>
  </si>
  <si>
    <t>户数</t>
  </si>
  <si>
    <t>户均面积</t>
  </si>
  <si>
    <t>预估售价（含增值税，元/m2）</t>
  </si>
  <si>
    <t>计划收入（含增值税，万元)</t>
  </si>
  <si>
    <t>是否参与非人防地下室亏损分摊</t>
  </si>
  <si>
    <t>精装修</t>
  </si>
  <si>
    <t>1T4(30F)</t>
  </si>
  <si>
    <t>1T3(30F)</t>
  </si>
  <si>
    <t>LOFT(31F)</t>
  </si>
  <si>
    <t>1T2(31F)</t>
  </si>
  <si>
    <t>1T8(32F)</t>
  </si>
  <si>
    <t>中高层洋房</t>
  </si>
  <si>
    <t>115高层洋房</t>
  </si>
  <si>
    <t>超高层洋房</t>
  </si>
  <si>
    <t>公寓</t>
  </si>
  <si>
    <t>底商</t>
  </si>
  <si>
    <t>毛坯</t>
  </si>
  <si>
    <t>商业街</t>
  </si>
  <si>
    <t>综合楼</t>
  </si>
  <si>
    <t>写字楼</t>
  </si>
  <si>
    <t>不含增值税收入与成本的亏损分摊金额</t>
  </si>
  <si>
    <t>含增值税收入与成本的亏损分摊金额</t>
  </si>
  <si>
    <t>自持物业</t>
  </si>
  <si>
    <t>自持物业类型</t>
  </si>
  <si>
    <t>总分摊面积</t>
  </si>
  <si>
    <t>已分摊面积</t>
  </si>
  <si>
    <t>本期区分摊面积</t>
  </si>
  <si>
    <t>检查项勿删除（本期区分摊金额，单位万元）</t>
  </si>
  <si>
    <t>检查项勿删除（其他期区分摊金额，单位万元）</t>
  </si>
  <si>
    <t>自持物业自留成本</t>
  </si>
  <si>
    <t>酒店</t>
  </si>
  <si>
    <t>医院（自持）</t>
  </si>
  <si>
    <t>车位</t>
  </si>
  <si>
    <t>车位类型</t>
  </si>
  <si>
    <t>车位数</t>
  </si>
  <si>
    <t>车位平均面积（m2/个)</t>
  </si>
  <si>
    <t>车位计划平均
售价(含增值税，元/个)</t>
  </si>
  <si>
    <t>车位计划收入
（含增值税，万元）</t>
  </si>
  <si>
    <t>地上计容车库</t>
  </si>
  <si>
    <t>地面露天车位</t>
  </si>
  <si>
    <t>非人防地下室</t>
  </si>
  <si>
    <t>人防地下室</t>
  </si>
  <si>
    <t>本期区公共配套规划分摊指标</t>
  </si>
  <si>
    <t>配套类型</t>
  </si>
  <si>
    <t>产权属性</t>
  </si>
  <si>
    <t>说明</t>
  </si>
  <si>
    <t>有产权配套自留成本</t>
  </si>
  <si>
    <t>是否完全分摊</t>
  </si>
  <si>
    <t>教育公建配套分摊指标</t>
  </si>
  <si>
    <t>交通中心</t>
  </si>
  <si>
    <t>无产权</t>
  </si>
  <si>
    <t>大型桥梁</t>
  </si>
  <si>
    <t>独立会所（综合楼）</t>
  </si>
  <si>
    <t>活动中心</t>
  </si>
  <si>
    <t>商贸市场</t>
  </si>
  <si>
    <t>医院</t>
  </si>
  <si>
    <t>有产权资产</t>
  </si>
  <si>
    <t>幼儿园</t>
  </si>
  <si>
    <t>有产权-接收</t>
  </si>
  <si>
    <t>学校</t>
  </si>
  <si>
    <t>物业配套分摊指标</t>
  </si>
  <si>
    <t>物业用房</t>
  </si>
  <si>
    <t>NA</t>
  </si>
  <si>
    <t>员工宿舍</t>
  </si>
  <si>
    <t>其他物业配套</t>
  </si>
  <si>
    <t>需分摊到本期的他期车位及大型公配规划分摊指标</t>
  </si>
  <si>
    <r>
      <rPr>
        <sz val="10"/>
        <color indexed="8"/>
        <rFont val="宋体"/>
        <family val="3"/>
        <charset val="134"/>
      </rPr>
      <t xml:space="preserve">建筑面积
</t>
    </r>
    <r>
      <rPr>
        <sz val="10"/>
        <color indexed="10"/>
        <rFont val="宋体"/>
        <family val="3"/>
        <charset val="134"/>
      </rPr>
      <t>必填项</t>
    </r>
  </si>
  <si>
    <r>
      <rPr>
        <sz val="10"/>
        <color indexed="8"/>
        <rFont val="宋体"/>
        <family val="3"/>
        <charset val="134"/>
      </rPr>
      <t xml:space="preserve">不含增值税建筑单方成本（元/m2)
</t>
    </r>
    <r>
      <rPr>
        <sz val="10"/>
        <color indexed="10"/>
        <rFont val="宋体"/>
        <family val="3"/>
        <charset val="134"/>
      </rPr>
      <t>必填项</t>
    </r>
  </si>
  <si>
    <t>不含增值税总成本（万元）</t>
  </si>
  <si>
    <r>
      <rPr>
        <sz val="10"/>
        <color indexed="8"/>
        <rFont val="宋体"/>
        <family val="3"/>
        <charset val="134"/>
      </rPr>
      <t xml:space="preserve">总分摊面积
</t>
    </r>
    <r>
      <rPr>
        <sz val="10"/>
        <color indexed="10"/>
        <rFont val="宋体"/>
        <family val="3"/>
        <charset val="134"/>
      </rPr>
      <t>必填项</t>
    </r>
  </si>
  <si>
    <r>
      <rPr>
        <sz val="10"/>
        <color indexed="8"/>
        <rFont val="宋体"/>
        <family val="3"/>
        <charset val="134"/>
      </rPr>
      <t xml:space="preserve">已分摊面积
</t>
    </r>
    <r>
      <rPr>
        <sz val="10"/>
        <color indexed="10"/>
        <rFont val="宋体"/>
        <family val="3"/>
        <charset val="134"/>
      </rPr>
      <t>必填项</t>
    </r>
  </si>
  <si>
    <r>
      <rPr>
        <sz val="10"/>
        <color indexed="8"/>
        <rFont val="宋体"/>
        <family val="3"/>
        <charset val="134"/>
      </rPr>
      <t xml:space="preserve">本期区分摊面积
</t>
    </r>
    <r>
      <rPr>
        <sz val="10"/>
        <color indexed="10"/>
        <rFont val="宋体"/>
        <family val="3"/>
        <charset val="134"/>
      </rPr>
      <t>必填项</t>
    </r>
  </si>
  <si>
    <r>
      <rPr>
        <sz val="10"/>
        <color indexed="8"/>
        <rFont val="宋体"/>
        <family val="3"/>
        <charset val="134"/>
      </rPr>
      <t xml:space="preserve">车位数
</t>
    </r>
    <r>
      <rPr>
        <sz val="10"/>
        <color indexed="10"/>
        <rFont val="宋体"/>
        <family val="3"/>
        <charset val="134"/>
      </rPr>
      <t>必填项</t>
    </r>
  </si>
  <si>
    <t>车位计划平均售价
(含增值税，元/个)</t>
  </si>
  <si>
    <t>车位计划收入
(含增值税，万元)</t>
  </si>
  <si>
    <r>
      <rPr>
        <sz val="10"/>
        <color indexed="8"/>
        <rFont val="宋体"/>
        <family val="3"/>
        <charset val="134"/>
      </rPr>
      <t xml:space="preserve">本期分摊面积
</t>
    </r>
    <r>
      <rPr>
        <sz val="10"/>
        <color indexed="10"/>
        <rFont val="宋体"/>
        <family val="3"/>
        <charset val="134"/>
      </rPr>
      <t>必填项</t>
    </r>
  </si>
  <si>
    <t>大型公配</t>
  </si>
  <si>
    <t>山体公园</t>
  </si>
  <si>
    <t>按照占地面积南北地块分摊</t>
  </si>
  <si>
    <t>环湖绿道</t>
  </si>
  <si>
    <t>临建展示板房</t>
  </si>
  <si>
    <t>占地</t>
  </si>
  <si>
    <t>占比</t>
  </si>
  <si>
    <t>基地</t>
  </si>
  <si>
    <t>小区道路</t>
  </si>
  <si>
    <t>货量区园建</t>
  </si>
  <si>
    <t>软硬景6：4</t>
  </si>
  <si>
    <t>货量区绿化</t>
  </si>
  <si>
    <t>示范区绿化</t>
  </si>
  <si>
    <t>示范区园建</t>
  </si>
  <si>
    <t>泳池</t>
  </si>
  <si>
    <t>人工湖</t>
  </si>
  <si>
    <t>检验</t>
  </si>
  <si>
    <t>示范区占地</t>
  </si>
  <si>
    <t>T2-277.3㎡，T3-366.86㎡，T4-397.04㎡，100别墅-176.04㎡，120别墅-176.54㎡，150别墅-227.24㎡</t>
  </si>
  <si>
    <t>普通住宅</t>
  </si>
  <si>
    <t>地下</t>
  </si>
  <si>
    <t>车库</t>
  </si>
  <si>
    <t>普通住宅</t>
    <phoneticPr fontId="7" type="noConversion"/>
  </si>
  <si>
    <t>底商</t>
    <phoneticPr fontId="7" type="noConversion"/>
  </si>
  <si>
    <t>土地（套用方法）</t>
  </si>
  <si>
    <t>押一</t>
  </si>
  <si>
    <t>钢混</t>
  </si>
  <si>
    <t>华润小径湾</t>
    <phoneticPr fontId="3" type="noConversion"/>
  </si>
  <si>
    <t>大亚湾区</t>
    <phoneticPr fontId="21" type="noConversion"/>
  </si>
  <si>
    <t>惠东县</t>
    <phoneticPr fontId="21" type="noConversion"/>
  </si>
  <si>
    <t>惠州富力湾</t>
    <phoneticPr fontId="3" type="noConversion"/>
  </si>
  <si>
    <t>正常</t>
  </si>
  <si>
    <t>住宅</t>
    <phoneticPr fontId="21" type="noConversion"/>
  </si>
  <si>
    <t>高速公路</t>
    <phoneticPr fontId="21" type="noConversion"/>
  </si>
  <si>
    <t>城市主干道</t>
    <phoneticPr fontId="21" type="noConversion"/>
  </si>
  <si>
    <t>城市次干道</t>
  </si>
  <si>
    <t>城市次干道</t>
    <phoneticPr fontId="21" type="noConversion"/>
  </si>
  <si>
    <t>城市支路</t>
    <phoneticPr fontId="21" type="noConversion"/>
  </si>
  <si>
    <t>城市快速路</t>
    <phoneticPr fontId="21" type="noConversion"/>
  </si>
  <si>
    <t>临海</t>
    <phoneticPr fontId="21" type="noConversion"/>
  </si>
  <si>
    <t>海景</t>
    <phoneticPr fontId="21" type="noConversion"/>
  </si>
  <si>
    <t>钢混</t>
    <phoneticPr fontId="21" type="noConversion"/>
  </si>
  <si>
    <t>高档</t>
  </si>
  <si>
    <t>高档</t>
    <phoneticPr fontId="21" type="noConversion"/>
  </si>
  <si>
    <t>中档</t>
    <phoneticPr fontId="21" type="noConversion"/>
  </si>
  <si>
    <t>普通</t>
    <phoneticPr fontId="21" type="noConversion"/>
  </si>
  <si>
    <t>精装修</t>
    <phoneticPr fontId="21" type="noConversion"/>
  </si>
  <si>
    <t>简单装修</t>
    <phoneticPr fontId="21" type="noConversion"/>
  </si>
  <si>
    <t>知名物业</t>
  </si>
  <si>
    <t>知名物业</t>
    <phoneticPr fontId="21" type="noConversion"/>
  </si>
  <si>
    <t>专业</t>
    <phoneticPr fontId="21" type="noConversion"/>
  </si>
  <si>
    <t>七通</t>
    <phoneticPr fontId="21" type="noConversion"/>
  </si>
  <si>
    <t>六通</t>
  </si>
  <si>
    <t>六通</t>
    <phoneticPr fontId="21" type="noConversion"/>
  </si>
  <si>
    <t>五通</t>
    <phoneticPr fontId="21" type="noConversion"/>
  </si>
  <si>
    <t>平层</t>
  </si>
  <si>
    <t>平层</t>
    <phoneticPr fontId="21" type="noConversion"/>
  </si>
  <si>
    <t>复式</t>
    <phoneticPr fontId="21" type="noConversion"/>
  </si>
  <si>
    <t>普通装修</t>
    <phoneticPr fontId="21" type="noConversion"/>
  </si>
  <si>
    <t>毛坯</t>
    <phoneticPr fontId="21" type="noConversion"/>
  </si>
  <si>
    <t>距石化区</t>
    <phoneticPr fontId="21" type="noConversion"/>
  </si>
  <si>
    <t>景观</t>
    <phoneticPr fontId="21" type="noConversion"/>
  </si>
  <si>
    <t>山景</t>
    <phoneticPr fontId="21" type="noConversion"/>
  </si>
  <si>
    <t>60-70（含）</t>
  </si>
  <si>
    <t>请录依据文件名称：http://www.gdqy.gov.cn/qysghj/sfbz1/201702/097cfa49ce584d3fa23302d07c339666.shtml</t>
    <phoneticPr fontId="3" type="noConversion"/>
  </si>
  <si>
    <t>南地块</t>
    <phoneticPr fontId="21" type="noConversion"/>
  </si>
  <si>
    <t>一般</t>
  </si>
  <si>
    <t>较差</t>
  </si>
  <si>
    <t>好</t>
  </si>
  <si>
    <t>较好</t>
  </si>
  <si>
    <t>紧邻</t>
    <phoneticPr fontId="21" type="noConversion"/>
  </si>
  <si>
    <r>
      <t>5</t>
    </r>
    <r>
      <rPr>
        <sz val="11"/>
        <color indexed="8"/>
        <rFont val="宋体"/>
        <family val="3"/>
        <charset val="134"/>
      </rPr>
      <t>公里及以上</t>
    </r>
    <phoneticPr fontId="21" type="noConversion"/>
  </si>
  <si>
    <t>复式为平层单价一倍</t>
    <phoneticPr fontId="21" type="noConversion"/>
  </si>
  <si>
    <t>估价对象待定</t>
    <phoneticPr fontId="21" type="noConversion"/>
  </si>
  <si>
    <t>售价</t>
  </si>
  <si>
    <t>碧桂园十里银滩钻石海</t>
    <phoneticPr fontId="3" type="noConversion"/>
  </si>
  <si>
    <t>可选样本少</t>
    <phoneticPr fontId="21" type="noConversion"/>
  </si>
  <si>
    <r>
      <rPr>
        <b/>
        <sz val="11"/>
        <rFont val="仿宋_GB2312"/>
        <family val="3"/>
        <charset val="134"/>
      </rPr>
      <t>普通住宅比较价格（楼面单价，元</t>
    </r>
    <r>
      <rPr>
        <b/>
        <sz val="11"/>
        <rFont val="Arial"/>
        <family val="2"/>
      </rPr>
      <t>/</t>
    </r>
    <r>
      <rPr>
        <b/>
        <sz val="11"/>
        <rFont val="仿宋_GB2312"/>
        <family val="3"/>
        <charset val="134"/>
      </rPr>
      <t>平方米）</t>
    </r>
    <phoneticPr fontId="3" type="noConversion"/>
  </si>
  <si>
    <t>惠东县稔山镇</t>
    <phoneticPr fontId="21" type="noConversion"/>
  </si>
  <si>
    <t>居住</t>
  </si>
  <si>
    <t>居住</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</si>
  <si>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</si>
  <si>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</si>
  <si>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</si>
  <si>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</si>
  <si>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城市支路及规划路</t>
  </si>
  <si>
    <t>城市支路及规划路</t>
    <phoneticPr fontId="26" type="noConversion"/>
  </si>
  <si>
    <t>紧邻</t>
    <phoneticPr fontId="26" type="noConversion"/>
  </si>
  <si>
    <t>临近</t>
    <phoneticPr fontId="26" type="noConversion"/>
  </si>
  <si>
    <t>较规则</t>
  </si>
  <si>
    <t>较规则</t>
    <phoneticPr fontId="26" type="noConversion"/>
  </si>
  <si>
    <t>不规则</t>
    <phoneticPr fontId="26" type="noConversion"/>
  </si>
  <si>
    <t>平坦</t>
  </si>
  <si>
    <t>平坦</t>
    <phoneticPr fontId="26" type="noConversion"/>
  </si>
  <si>
    <t>坡地</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</si>
  <si>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</si>
  <si>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</si>
  <si>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</si>
  <si>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</si>
  <si>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</si>
  <si>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</si>
  <si>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近海距离</t>
    <phoneticPr fontId="26" type="noConversion"/>
  </si>
  <si>
    <t>近海</t>
    <phoneticPr fontId="26" type="noConversion"/>
  </si>
  <si>
    <t>70</t>
    <phoneticPr fontId="26" type="noConversion"/>
  </si>
  <si>
    <t>南地块</t>
    <phoneticPr fontId="3" type="noConversion"/>
  </si>
  <si>
    <t>HDGC2017-9</t>
    <phoneticPr fontId="3" type="noConversion"/>
  </si>
  <si>
    <t>惠东县稔山镇海滨城</t>
    <phoneticPr fontId="3" type="noConversion"/>
  </si>
  <si>
    <t>HDGC2017-4</t>
    <phoneticPr fontId="3" type="noConversion"/>
  </si>
  <si>
    <t>HDGC2017-5</t>
    <phoneticPr fontId="3" type="noConversion"/>
  </si>
  <si>
    <t>惠东县稔山镇大浦屯</t>
    <phoneticPr fontId="3" type="noConversion"/>
  </si>
  <si>
    <t>楼面地价</t>
  </si>
  <si>
    <r>
      <rPr>
        <b/>
        <sz val="11"/>
        <rFont val="仿宋_GB2312"/>
        <family val="3"/>
        <charset val="134"/>
      </rPr>
      <t>楼面地价比较价格（元</t>
    </r>
    <r>
      <rPr>
        <b/>
        <sz val="11"/>
        <rFont val="Arial"/>
        <family val="2"/>
      </rPr>
      <t>/</t>
    </r>
    <r>
      <rPr>
        <b/>
        <sz val="11"/>
        <rFont val="仿宋_GB2312"/>
        <family val="3"/>
        <charset val="134"/>
      </rPr>
      <t>平方米）</t>
    </r>
    <phoneticPr fontId="3" type="noConversion"/>
  </si>
  <si>
    <t>剩余法-待开发</t>
  </si>
  <si>
    <t>比较法-住宅、综合</t>
  </si>
  <si>
    <t>同区域在售可比项目不足三个</t>
    <phoneticPr fontId="21" type="noConversion"/>
  </si>
  <si>
    <t>有</t>
  </si>
  <si>
    <t>情况3</t>
  </si>
  <si>
    <t>非个人房产</t>
  </si>
  <si>
    <t>项目全部</t>
  </si>
  <si>
    <t>土地</t>
  </si>
  <si>
    <t>高层</t>
    <phoneticPr fontId="21" type="noConversion"/>
  </si>
  <si>
    <t>多层</t>
    <phoneticPr fontId="21" type="noConversion"/>
  </si>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</sst>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 "/>
    <numFmt numFmtId="197" formatCode="_ * #,##0.0_ ;_ * \-#,##0.0_ ;_ * &quot;-&quot;??_ ;_ @_ "/>
    <numFmt numFmtId="198" formatCode="_ * #,##0.0000_ ;_ * \-#,##0.0000_ ;_ * &quot;-&quot;??_ ;_ @_ "/>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16"/>
      <color indexed="60"/>
      <name val="黑体"/>
      <family val="3"/>
      <charset val="134"/>
    </font>
    <font>
      <b/>
      <sz val="14"/>
      <color indexed="60"/>
      <name val="黑体"/>
      <family val="3"/>
      <charset val="134"/>
    </font>
    <font>
      <b/>
      <sz val="14"/>
      <color indexed="60"/>
      <name val="宋体"/>
      <family val="3"/>
      <charset val="134"/>
    </font>
    <font>
      <b/>
      <sz val="10"/>
      <color indexed="60"/>
      <name val="宋体"/>
      <family val="3"/>
      <charset val="134"/>
    </font>
    <font>
      <sz val="10"/>
      <color indexed="55"/>
      <name val="宋体"/>
      <family val="3"/>
      <charset val="134"/>
    </font>
    <font>
      <b/>
      <sz val="10"/>
      <color indexed="55"/>
      <name val="宋体"/>
      <family val="3"/>
      <charset val="134"/>
    </font>
    <font>
      <b/>
      <sz val="10"/>
      <color indexed="10"/>
      <name val="宋体"/>
      <family val="3"/>
      <charset val="134"/>
    </font>
    <font>
      <sz val="10"/>
      <color indexed="10"/>
      <name val="宋体"/>
      <family val="3"/>
      <charset val="134"/>
    </font>
    <font>
      <b/>
      <sz val="9"/>
      <name val="宋体"/>
      <family val="3"/>
      <charset val="134"/>
    </font>
    <font>
      <sz val="11"/>
      <color theme="9" tint="-0.249977111117893"/>
      <name val="宋体"/>
      <family val="3"/>
      <charset val="134"/>
    </font>
    <font>
      <sz val="11"/>
      <color indexed="53"/>
      <name val="宋体"/>
      <family val="3"/>
      <charset val="134"/>
    </font>
    <font>
      <b/>
      <sz val="14"/>
      <color rgb="FFFF0000"/>
      <name val="宋体"/>
      <family val="3"/>
      <charset val="134"/>
    </font>
    <font>
      <b/>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indexed="55"/>
        <bgColor indexed="64"/>
      </patternFill>
    </fill>
    <fill>
      <patternFill patternType="solid">
        <fgColor indexed="29"/>
        <bgColor indexed="64"/>
      </patternFill>
    </fill>
    <fill>
      <patternFill patternType="solid">
        <fgColor indexed="45"/>
        <bgColor indexed="64"/>
      </patternFill>
    </fill>
    <fill>
      <patternFill patternType="solid">
        <fgColor indexed="27"/>
        <bgColor indexed="64"/>
      </patternFill>
    </fill>
    <fill>
      <patternFill patternType="solid">
        <fgColor indexed="42"/>
        <bgColor indexed="64"/>
      </patternFill>
    </fill>
    <fill>
      <patternFill patternType="lightTrellis"/>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ck">
        <color indexed="10"/>
      </left>
      <right style="thin">
        <color indexed="64"/>
      </right>
      <top style="thin">
        <color indexed="64"/>
      </top>
      <bottom style="thin">
        <color indexed="64"/>
      </bottom>
      <diagonal style="thin">
        <color indexed="64"/>
      </diagonal>
    </border>
    <border diagonalUp="1">
      <left style="thin">
        <color indexed="64"/>
      </left>
      <right style="thick">
        <color indexed="10"/>
      </right>
      <top style="thin">
        <color indexed="64"/>
      </top>
      <bottom style="thin">
        <color indexed="64"/>
      </bottom>
      <diagonal style="thin">
        <color indexed="64"/>
      </diagonal>
    </border>
    <border>
      <left style="thick">
        <color indexed="10"/>
      </left>
      <right/>
      <top/>
      <bottom/>
      <diagonal/>
    </border>
    <border>
      <left/>
      <right style="thick">
        <color indexed="10"/>
      </right>
      <top/>
      <bottom/>
      <diagonal/>
    </border>
    <border>
      <left style="thick">
        <color indexed="10"/>
      </left>
      <right style="medium">
        <color indexed="64"/>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right style="thick">
        <color indexed="10"/>
      </right>
      <top/>
      <bottom style="thick">
        <color indexed="1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76" fontId="278" fillId="0" borderId="0" applyFont="0" applyFill="0" applyBorder="0" applyAlignment="0" applyProtection="0">
      <alignment vertical="center"/>
    </xf>
    <xf numFmtId="0" fontId="32" fillId="0" borderId="0">
      <alignment vertical="center"/>
    </xf>
    <xf numFmtId="176" fontId="32" fillId="0" borderId="0" applyFont="0" applyFill="0" applyBorder="0" applyAlignment="0" applyProtection="0">
      <alignment vertical="center"/>
    </xf>
    <xf numFmtId="0" fontId="32" fillId="0" borderId="0">
      <alignment vertical="center"/>
    </xf>
  </cellStyleXfs>
  <cellXfs count="36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8" borderId="8" xfId="0" applyFont="1" applyFill="1" applyBorder="1" applyAlignment="1" applyProtection="1">
      <alignment vertical="center"/>
      <protection locked="0"/>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0" fontId="279" fillId="3" borderId="61" xfId="0" applyFont="1" applyFill="1" applyBorder="1" applyAlignment="1">
      <alignment vertical="center"/>
    </xf>
    <xf numFmtId="0" fontId="280" fillId="16" borderId="61" xfId="0" applyFont="1" applyFill="1" applyBorder="1" applyAlignment="1">
      <alignment horizontal="center" vertical="center"/>
    </xf>
    <xf numFmtId="0" fontId="279" fillId="3" borderId="61" xfId="0" applyFont="1" applyFill="1" applyBorder="1" applyAlignment="1">
      <alignment horizontal="center" vertical="center"/>
    </xf>
    <xf numFmtId="0" fontId="281" fillId="16" borderId="61" xfId="0" applyFont="1" applyFill="1" applyBorder="1" applyAlignment="1">
      <alignment horizontal="center" vertical="center"/>
    </xf>
    <xf numFmtId="176" fontId="127" fillId="0" borderId="0" xfId="15" applyFont="1" applyAlignment="1">
      <alignment horizontal="center" vertical="center"/>
    </xf>
    <xf numFmtId="0" fontId="127" fillId="0" borderId="0" xfId="0" applyFont="1" applyAlignment="1">
      <alignment horizontal="center" vertical="center"/>
    </xf>
    <xf numFmtId="0" fontId="127" fillId="0" borderId="0" xfId="0" applyFont="1" applyAlignment="1">
      <alignment horizontal="right" vertical="center"/>
    </xf>
    <xf numFmtId="0" fontId="127" fillId="0" borderId="0" xfId="0" applyFont="1" applyAlignment="1">
      <alignment horizontal="left" vertical="center"/>
    </xf>
    <xf numFmtId="185" fontId="127" fillId="0" borderId="0" xfId="0" applyNumberFormat="1" applyFont="1" applyFill="1" applyAlignment="1">
      <alignment horizontal="center" vertical="center"/>
    </xf>
    <xf numFmtId="176" fontId="127" fillId="0" borderId="0" xfId="0" applyNumberFormat="1" applyFont="1" applyAlignment="1">
      <alignment horizontal="center" vertical="center"/>
    </xf>
    <xf numFmtId="0" fontId="127" fillId="0" borderId="152" xfId="0" applyFont="1" applyBorder="1" applyAlignment="1">
      <alignment horizontal="right" vertical="center"/>
    </xf>
    <xf numFmtId="9" fontId="226" fillId="17" borderId="78" xfId="11" applyFont="1" applyFill="1" applyBorder="1" applyAlignment="1">
      <alignment horizontal="left" vertical="center"/>
    </xf>
    <xf numFmtId="0" fontId="127" fillId="0" borderId="78" xfId="0" applyFont="1" applyBorder="1" applyAlignment="1">
      <alignment horizontal="center" vertical="center"/>
    </xf>
    <xf numFmtId="0" fontId="127" fillId="0" borderId="78" xfId="0" applyFont="1" applyBorder="1" applyAlignment="1">
      <alignment horizontal="right" vertical="center"/>
    </xf>
    <xf numFmtId="185" fontId="127" fillId="0" borderId="78" xfId="0" applyNumberFormat="1" applyFont="1" applyFill="1" applyBorder="1" applyAlignment="1">
      <alignment horizontal="center" vertical="center"/>
    </xf>
    <xf numFmtId="180" fontId="226" fillId="17" borderId="78" xfId="0" applyNumberFormat="1" applyFont="1" applyFill="1" applyBorder="1" applyAlignment="1">
      <alignment horizontal="center" vertical="center"/>
    </xf>
    <xf numFmtId="185" fontId="127" fillId="0" borderId="78" xfId="0" applyNumberFormat="1" applyFont="1" applyFill="1" applyBorder="1" applyAlignment="1">
      <alignment horizontal="right" vertical="center"/>
    </xf>
    <xf numFmtId="195" fontId="282" fillId="17" borderId="78" xfId="15" applyNumberFormat="1" applyFont="1" applyFill="1" applyBorder="1" applyAlignment="1">
      <alignment horizontal="left" vertical="center"/>
    </xf>
    <xf numFmtId="0" fontId="127" fillId="0" borderId="153" xfId="0" applyFont="1" applyBorder="1" applyAlignment="1">
      <alignment horizontal="center" vertical="center"/>
    </xf>
    <xf numFmtId="0" fontId="127" fillId="0" borderId="154" xfId="0" applyFont="1" applyBorder="1" applyAlignment="1">
      <alignment horizontal="right" vertical="center"/>
    </xf>
    <xf numFmtId="9" fontId="226" fillId="17" borderId="0" xfId="11" applyFont="1" applyFill="1" applyBorder="1" applyAlignment="1">
      <alignment horizontal="left" vertical="center"/>
    </xf>
    <xf numFmtId="0" fontId="127" fillId="0" borderId="0" xfId="0" applyFont="1" applyBorder="1" applyAlignment="1">
      <alignment horizontal="center" vertical="center"/>
    </xf>
    <xf numFmtId="0" fontId="127" fillId="0" borderId="0" xfId="0" applyFont="1" applyBorder="1" applyAlignment="1">
      <alignment horizontal="right" vertical="center"/>
    </xf>
    <xf numFmtId="185" fontId="127" fillId="0" borderId="0" xfId="0" applyNumberFormat="1" applyFont="1" applyFill="1" applyBorder="1" applyAlignment="1">
      <alignment horizontal="center" vertical="center"/>
    </xf>
    <xf numFmtId="180" fontId="226" fillId="18" borderId="78" xfId="0" applyNumberFormat="1" applyFont="1" applyFill="1" applyBorder="1" applyAlignment="1">
      <alignment horizontal="center" vertical="center"/>
    </xf>
    <xf numFmtId="180" fontId="226" fillId="17" borderId="0" xfId="0" applyNumberFormat="1" applyFont="1" applyFill="1" applyBorder="1" applyAlignment="1">
      <alignment horizontal="center" vertical="center"/>
    </xf>
    <xf numFmtId="0" fontId="127" fillId="0" borderId="155" xfId="0" applyFont="1" applyBorder="1" applyAlignment="1">
      <alignment horizontal="center" vertical="center"/>
    </xf>
    <xf numFmtId="0" fontId="127" fillId="0" borderId="156" xfId="0" applyFont="1" applyBorder="1" applyAlignment="1">
      <alignment horizontal="right" vertical="center"/>
    </xf>
    <xf numFmtId="182" fontId="226" fillId="17" borderId="91" xfId="11" applyNumberFormat="1" applyFont="1" applyFill="1" applyBorder="1" applyAlignment="1">
      <alignment horizontal="left" vertical="center"/>
    </xf>
    <xf numFmtId="0" fontId="127" fillId="0" borderId="91" xfId="0" applyFont="1" applyBorder="1" applyAlignment="1">
      <alignment horizontal="center" vertical="center"/>
    </xf>
    <xf numFmtId="0" fontId="127" fillId="0" borderId="91" xfId="0" applyFont="1" applyBorder="1" applyAlignment="1">
      <alignment horizontal="right" vertical="center"/>
    </xf>
    <xf numFmtId="10" fontId="226" fillId="17" borderId="91" xfId="11" applyNumberFormat="1" applyFont="1" applyFill="1" applyBorder="1" applyAlignment="1">
      <alignment horizontal="left" vertical="center"/>
    </xf>
    <xf numFmtId="185" fontId="127" fillId="0" borderId="91" xfId="0" applyNumberFormat="1" applyFont="1" applyFill="1" applyBorder="1" applyAlignment="1">
      <alignment horizontal="center" vertical="center"/>
    </xf>
    <xf numFmtId="196" fontId="226" fillId="17" borderId="91" xfId="15" applyNumberFormat="1" applyFont="1" applyFill="1" applyBorder="1" applyAlignment="1">
      <alignment horizontal="center" vertical="center"/>
    </xf>
    <xf numFmtId="9" fontId="226" fillId="17" borderId="91" xfId="11" applyFont="1" applyFill="1" applyBorder="1" applyAlignment="1">
      <alignment horizontal="center" vertical="center"/>
    </xf>
    <xf numFmtId="0" fontId="127" fillId="0" borderId="157" xfId="0" applyFont="1" applyBorder="1" applyAlignment="1">
      <alignment horizontal="center" vertical="center"/>
    </xf>
    <xf numFmtId="0" fontId="82" fillId="17" borderId="6" xfId="0" applyNumberFormat="1" applyFont="1" applyFill="1" applyBorder="1" applyAlignment="1">
      <alignment horizontal="left" vertical="center" wrapText="1"/>
    </xf>
    <xf numFmtId="195" fontId="82" fillId="17" borderId="6" xfId="15" applyNumberFormat="1" applyFont="1" applyFill="1" applyBorder="1" applyAlignment="1">
      <alignment horizontal="left" vertical="center" wrapText="1"/>
    </xf>
    <xf numFmtId="197" fontId="82" fillId="17" borderId="6" xfId="15" applyNumberFormat="1" applyFont="1" applyFill="1" applyBorder="1" applyAlignment="1">
      <alignment horizontal="left" vertical="center" wrapText="1"/>
    </xf>
    <xf numFmtId="180" fontId="82" fillId="17" borderId="6" xfId="0" applyNumberFormat="1" applyFont="1" applyFill="1" applyBorder="1" applyAlignment="1">
      <alignment horizontal="center" vertical="center" wrapText="1"/>
    </xf>
    <xf numFmtId="195" fontId="82" fillId="17" borderId="7" xfId="15" applyNumberFormat="1" applyFont="1" applyFill="1" applyBorder="1" applyAlignment="1">
      <alignment horizontal="left" vertical="center" wrapText="1"/>
    </xf>
    <xf numFmtId="0" fontId="82" fillId="3" borderId="0" xfId="0" applyNumberFormat="1" applyFont="1" applyFill="1" applyAlignment="1">
      <alignment vertical="center" wrapText="1"/>
    </xf>
    <xf numFmtId="0" fontId="82" fillId="0" borderId="0" xfId="0" applyFont="1" applyAlignment="1">
      <alignment horizontal="center" vertical="center"/>
    </xf>
    <xf numFmtId="0" fontId="82" fillId="17" borderId="2" xfId="0" applyNumberFormat="1" applyFont="1" applyFill="1" applyBorder="1" applyAlignment="1">
      <alignment horizontal="left" vertical="center" wrapText="1"/>
    </xf>
    <xf numFmtId="195" fontId="82" fillId="17" borderId="2" xfId="15" applyNumberFormat="1" applyFont="1" applyFill="1" applyBorder="1" applyAlignment="1">
      <alignment horizontal="left" vertical="center" wrapText="1"/>
    </xf>
    <xf numFmtId="195" fontId="82" fillId="17" borderId="1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180" fontId="82" fillId="19" borderId="2" xfId="0" applyNumberFormat="1" applyFont="1" applyFill="1" applyBorder="1" applyAlignment="1">
      <alignment horizontal="center" vertical="center" wrapText="1"/>
    </xf>
    <xf numFmtId="195" fontId="82" fillId="19" borderId="12" xfId="15" applyNumberFormat="1" applyFont="1" applyFill="1" applyBorder="1" applyAlignment="1">
      <alignment horizontal="left" vertical="center" wrapText="1"/>
    </xf>
    <xf numFmtId="0" fontId="82" fillId="20" borderId="2" xfId="0" applyNumberFormat="1" applyFont="1" applyFill="1" applyBorder="1" applyAlignment="1">
      <alignment horizontal="center" vertical="center" wrapText="1"/>
    </xf>
    <xf numFmtId="0" fontId="82" fillId="20" borderId="2" xfId="0" applyNumberFormat="1" applyFont="1" applyFill="1" applyBorder="1" applyAlignment="1">
      <alignment vertical="center" wrapText="1"/>
    </xf>
    <xf numFmtId="0" fontId="82" fillId="20" borderId="12" xfId="0" applyNumberFormat="1" applyFont="1" applyFill="1" applyBorder="1" applyAlignment="1">
      <alignment horizontal="center" vertical="center" wrapText="1"/>
    </xf>
    <xf numFmtId="0" fontId="82" fillId="3" borderId="0" xfId="0" applyNumberFormat="1" applyFont="1" applyFill="1" applyAlignment="1">
      <alignment horizontal="left" vertical="center" wrapText="1"/>
    </xf>
    <xf numFmtId="0" fontId="82" fillId="0" borderId="2" xfId="16" applyFont="1" applyFill="1" applyBorder="1" applyAlignment="1">
      <alignment horizontal="left" vertical="center" wrapText="1"/>
    </xf>
    <xf numFmtId="176" fontId="82" fillId="0" borderId="2" xfId="15" applyFont="1" applyFill="1" applyBorder="1" applyAlignment="1">
      <alignment horizontal="right" vertical="center" wrapText="1"/>
    </xf>
    <xf numFmtId="195" fontId="82" fillId="0" borderId="2" xfId="17" applyNumberFormat="1" applyFont="1" applyFill="1" applyBorder="1" applyAlignment="1">
      <alignment horizontal="center" vertical="center" wrapText="1"/>
    </xf>
    <xf numFmtId="195" fontId="82" fillId="0" borderId="2" xfId="15"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82" fillId="0" borderId="2" xfId="15" applyNumberFormat="1" applyFont="1" applyFill="1" applyBorder="1" applyAlignment="1">
      <alignment vertical="center" wrapText="1"/>
    </xf>
    <xf numFmtId="195" fontId="82" fillId="0" borderId="12" xfId="15" applyNumberFormat="1" applyFont="1" applyFill="1" applyBorder="1" applyAlignment="1">
      <alignment vertical="center" wrapText="1"/>
    </xf>
    <xf numFmtId="176" fontId="82" fillId="2" borderId="2" xfId="15" applyFont="1" applyFill="1" applyBorder="1" applyAlignment="1">
      <alignment horizontal="right" vertical="center" wrapText="1"/>
    </xf>
    <xf numFmtId="0" fontId="82" fillId="7" borderId="2" xfId="0" applyNumberFormat="1" applyFont="1" applyFill="1" applyBorder="1" applyAlignment="1">
      <alignment horizontal="center" vertical="center" wrapText="1"/>
    </xf>
    <xf numFmtId="195" fontId="82" fillId="2" borderId="2" xfId="15" applyNumberFormat="1" applyFont="1" applyFill="1" applyBorder="1" applyAlignment="1">
      <alignment horizontal="right" vertical="center" wrapText="1"/>
    </xf>
    <xf numFmtId="195" fontId="82" fillId="0" borderId="0" xfId="0" applyNumberFormat="1" applyFont="1" applyAlignment="1">
      <alignment horizontal="center" vertical="center"/>
    </xf>
    <xf numFmtId="176" fontId="82" fillId="7" borderId="2" xfId="15" applyFont="1" applyFill="1" applyBorder="1" applyAlignment="1">
      <alignment horizontal="right" vertical="center" wrapText="1"/>
    </xf>
    <xf numFmtId="195" fontId="82" fillId="2" borderId="2" xfId="15" applyNumberFormat="1" applyFont="1" applyFill="1" applyBorder="1" applyAlignment="1">
      <alignment vertical="center" wrapText="1"/>
    </xf>
    <xf numFmtId="49" fontId="82" fillId="0" borderId="2" xfId="17" applyNumberFormat="1" applyFont="1" applyFill="1" applyBorder="1" applyAlignment="1">
      <alignment horizontal="center" vertical="center" wrapText="1"/>
    </xf>
    <xf numFmtId="0" fontId="82" fillId="0" borderId="2" xfId="0" applyFont="1" applyFill="1" applyBorder="1" applyAlignment="1">
      <alignment horizontal="left" vertical="center" wrapText="1"/>
    </xf>
    <xf numFmtId="0" fontId="127" fillId="2" borderId="2" xfId="0" applyFont="1" applyFill="1" applyBorder="1" applyAlignment="1"/>
    <xf numFmtId="195" fontId="82" fillId="0" borderId="2" xfId="18" applyNumberFormat="1" applyFont="1" applyFill="1" applyBorder="1" applyAlignment="1" applyProtection="1">
      <alignment horizontal="center" vertical="center" wrapText="1"/>
      <protection locked="0"/>
    </xf>
    <xf numFmtId="176" fontId="82" fillId="0" borderId="0" xfId="0" applyNumberFormat="1" applyFont="1" applyAlignment="1">
      <alignment horizontal="center" vertical="center"/>
    </xf>
    <xf numFmtId="0" fontId="134" fillId="21" borderId="5" xfId="0" applyNumberFormat="1" applyFont="1" applyFill="1" applyBorder="1" applyAlignment="1">
      <alignment horizontal="center" vertical="center"/>
    </xf>
    <xf numFmtId="0" fontId="134" fillId="21" borderId="9" xfId="0" applyNumberFormat="1" applyFont="1" applyFill="1" applyBorder="1" applyAlignment="1">
      <alignment horizontal="center" vertical="center"/>
    </xf>
    <xf numFmtId="195" fontId="134" fillId="21" borderId="2" xfId="15" applyNumberFormat="1" applyFont="1" applyFill="1" applyBorder="1" applyAlignment="1">
      <alignment horizontal="right" vertical="center" wrapText="1"/>
    </xf>
    <xf numFmtId="0" fontId="82" fillId="20" borderId="5" xfId="0" applyNumberFormat="1" applyFont="1" applyFill="1" applyBorder="1" applyAlignment="1">
      <alignment horizontal="center" vertical="center" wrapText="1"/>
    </xf>
    <xf numFmtId="0" fontId="82" fillId="3" borderId="2" xfId="0" applyNumberFormat="1" applyFont="1" applyFill="1" applyBorder="1" applyAlignment="1">
      <alignment vertical="center" wrapText="1"/>
    </xf>
    <xf numFmtId="0" fontId="283" fillId="22" borderId="9" xfId="0" applyFont="1" applyFill="1" applyBorder="1" applyAlignment="1">
      <alignment horizontal="center" vertical="center"/>
    </xf>
    <xf numFmtId="0" fontId="82" fillId="3" borderId="160" xfId="0" applyNumberFormat="1" applyFont="1" applyFill="1" applyBorder="1" applyAlignment="1">
      <alignment vertical="center" wrapText="1"/>
    </xf>
    <xf numFmtId="0" fontId="82" fillId="3" borderId="161" xfId="0" applyNumberFormat="1" applyFont="1" applyFill="1" applyBorder="1" applyAlignment="1">
      <alignment vertical="center" wrapText="1"/>
    </xf>
    <xf numFmtId="176" fontId="82" fillId="3" borderId="162" xfId="0" applyNumberFormat="1" applyFont="1" applyFill="1" applyBorder="1" applyAlignment="1">
      <alignment vertical="center" wrapText="1"/>
    </xf>
    <xf numFmtId="176" fontId="82" fillId="3" borderId="2" xfId="0" applyNumberFormat="1" applyFont="1" applyFill="1" applyBorder="1" applyAlignment="1">
      <alignment vertical="center" wrapText="1"/>
    </xf>
    <xf numFmtId="176" fontId="82" fillId="3" borderId="9" xfId="0" applyNumberFormat="1" applyFont="1" applyFill="1" applyBorder="1" applyAlignment="1">
      <alignment vertical="center" wrapText="1"/>
    </xf>
    <xf numFmtId="176" fontId="82" fillId="3" borderId="8" xfId="0" applyNumberFormat="1" applyFont="1" applyFill="1" applyBorder="1" applyAlignment="1">
      <alignment vertical="center" wrapText="1"/>
    </xf>
    <xf numFmtId="198" fontId="283" fillId="22" borderId="9" xfId="15" applyNumberFormat="1" applyFont="1" applyFill="1" applyBorder="1" applyAlignment="1">
      <alignment horizontal="center" vertical="center"/>
    </xf>
    <xf numFmtId="176" fontId="82" fillId="3" borderId="160" xfId="0" applyNumberFormat="1" applyFont="1" applyFill="1" applyBorder="1" applyAlignment="1">
      <alignment vertical="center" wrapText="1"/>
    </xf>
    <xf numFmtId="176" fontId="82" fillId="3" borderId="161" xfId="0" applyNumberFormat="1" applyFont="1" applyFill="1" applyBorder="1" applyAlignment="1">
      <alignment vertical="center" wrapText="1"/>
    </xf>
    <xf numFmtId="0" fontId="134" fillId="21" borderId="2" xfId="0" applyNumberFormat="1" applyFont="1" applyFill="1" applyBorder="1" applyAlignment="1">
      <alignment horizontal="right" vertical="center" wrapText="1"/>
    </xf>
    <xf numFmtId="0" fontId="134" fillId="21" borderId="5" xfId="0" applyNumberFormat="1" applyFont="1" applyFill="1" applyBorder="1" applyAlignment="1">
      <alignment horizontal="right" vertical="center" wrapText="1"/>
    </xf>
    <xf numFmtId="195" fontId="284" fillId="22" borderId="9" xfId="15" applyNumberFormat="1" applyFont="1" applyFill="1" applyBorder="1" applyAlignment="1">
      <alignment horizontal="center" vertical="center" wrapText="1"/>
    </xf>
    <xf numFmtId="195" fontId="134" fillId="21" borderId="160" xfId="15" applyNumberFormat="1" applyFont="1" applyFill="1" applyBorder="1" applyAlignment="1">
      <alignment horizontal="right" vertical="center" wrapText="1"/>
    </xf>
    <xf numFmtId="195" fontId="134" fillId="21" borderId="161" xfId="15" applyNumberFormat="1" applyFont="1" applyFill="1" applyBorder="1" applyAlignment="1">
      <alignment horizontal="right" vertical="center" wrapText="1"/>
    </xf>
    <xf numFmtId="176" fontId="82" fillId="0" borderId="2" xfId="15" applyFont="1" applyFill="1" applyBorder="1" applyAlignment="1" applyProtection="1">
      <alignment horizontal="right" vertical="center" wrapText="1"/>
      <protection locked="0"/>
    </xf>
    <xf numFmtId="195" fontId="82" fillId="0" borderId="2" xfId="18" applyNumberFormat="1" applyFont="1" applyFill="1" applyBorder="1" applyAlignment="1" applyProtection="1">
      <alignment horizontal="right" vertical="center" wrapText="1"/>
      <protection locked="0"/>
    </xf>
    <xf numFmtId="195" fontId="82" fillId="0" borderId="2" xfId="15" applyNumberFormat="1" applyFont="1" applyFill="1" applyBorder="1" applyAlignment="1">
      <alignment horizontal="right" vertical="center" wrapText="1"/>
    </xf>
    <xf numFmtId="195" fontId="82" fillId="0" borderId="2" xfId="15" applyNumberFormat="1" applyFont="1" applyFill="1" applyBorder="1" applyAlignment="1" applyProtection="1">
      <alignment horizontal="right" vertical="center" wrapText="1"/>
      <protection locked="0"/>
    </xf>
    <xf numFmtId="195" fontId="82" fillId="0" borderId="5" xfId="15" applyNumberFormat="1" applyFont="1" applyFill="1" applyBorder="1" applyAlignment="1">
      <alignment horizontal="right" vertical="center" wrapText="1"/>
    </xf>
    <xf numFmtId="176" fontId="82" fillId="3" borderId="163" xfId="0" applyNumberFormat="1" applyFont="1" applyFill="1" applyBorder="1" applyAlignment="1">
      <alignment vertical="center" wrapText="1"/>
    </xf>
    <xf numFmtId="176" fontId="82" fillId="3" borderId="164" xfId="0" applyNumberFormat="1" applyFont="1" applyFill="1" applyBorder="1" applyAlignment="1">
      <alignment vertical="center" wrapText="1"/>
    </xf>
    <xf numFmtId="176" fontId="82" fillId="3" borderId="165" xfId="0" applyNumberFormat="1" applyFont="1" applyFill="1" applyBorder="1" applyAlignment="1">
      <alignment vertical="center" wrapText="1"/>
    </xf>
    <xf numFmtId="176" fontId="82" fillId="3" borderId="166" xfId="0" applyNumberFormat="1" applyFont="1" applyFill="1" applyBorder="1" applyAlignment="1">
      <alignment vertical="center" wrapText="1"/>
    </xf>
    <xf numFmtId="176" fontId="82" fillId="2" borderId="2" xfId="15" applyFont="1" applyFill="1" applyBorder="1" applyAlignment="1" applyProtection="1">
      <alignment horizontal="right" vertical="center" wrapText="1"/>
      <protection locked="0"/>
    </xf>
    <xf numFmtId="195" fontId="134" fillId="21" borderId="5" xfId="15" applyNumberFormat="1" applyFont="1" applyFill="1" applyBorder="1" applyAlignment="1">
      <alignment horizontal="right" vertical="center" wrapText="1"/>
    </xf>
    <xf numFmtId="0" fontId="82" fillId="0" borderId="2" xfId="0" applyNumberFormat="1" applyFont="1" applyFill="1" applyBorder="1" applyAlignment="1">
      <alignment vertical="center" wrapText="1"/>
    </xf>
    <xf numFmtId="0" fontId="285" fillId="0" borderId="2" xfId="0" applyNumberFormat="1"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2" xfId="0" applyFont="1" applyFill="1" applyBorder="1" applyAlignment="1">
      <alignment vertical="center" wrapText="1"/>
    </xf>
    <xf numFmtId="0" fontId="82" fillId="0" borderId="2" xfId="0" applyFont="1" applyBorder="1" applyAlignment="1">
      <alignment horizontal="center" vertical="center"/>
    </xf>
    <xf numFmtId="0" fontId="0" fillId="0" borderId="0" xfId="0" applyFill="1" applyBorder="1" applyAlignment="1"/>
    <xf numFmtId="0" fontId="0" fillId="0" borderId="2" xfId="0" applyBorder="1" applyAlignment="1"/>
    <xf numFmtId="176" fontId="283" fillId="22" borderId="9" xfId="0" applyNumberFormat="1" applyFont="1" applyFill="1" applyBorder="1" applyAlignment="1">
      <alignment horizontal="center" vertical="center" wrapText="1"/>
    </xf>
    <xf numFmtId="176" fontId="283" fillId="22" borderId="164" xfId="0" applyNumberFormat="1" applyFont="1" applyFill="1" applyBorder="1" applyAlignment="1">
      <alignment horizontal="center" vertical="center" wrapText="1"/>
    </xf>
    <xf numFmtId="0" fontId="134" fillId="21" borderId="2" xfId="0" applyNumberFormat="1" applyFont="1" applyFill="1" applyBorder="1" applyAlignment="1">
      <alignment horizontal="center" vertical="center" wrapText="1"/>
    </xf>
    <xf numFmtId="195" fontId="134" fillId="21" borderId="2" xfId="0" applyNumberFormat="1" applyFont="1" applyFill="1" applyBorder="1" applyAlignment="1">
      <alignment horizontal="right" vertical="center" wrapText="1"/>
    </xf>
    <xf numFmtId="0" fontId="82" fillId="0" borderId="2" xfId="0" applyFont="1" applyBorder="1" applyAlignment="1">
      <alignment horizontal="right" vertical="center"/>
    </xf>
    <xf numFmtId="0" fontId="82" fillId="0" borderId="0" xfId="0" applyFont="1" applyAlignment="1">
      <alignment horizontal="right" vertical="center"/>
    </xf>
    <xf numFmtId="197" fontId="134" fillId="21" borderId="44" xfId="0" applyNumberFormat="1" applyFont="1" applyFill="1" applyBorder="1" applyAlignment="1">
      <alignment horizontal="right" vertical="center" wrapText="1"/>
    </xf>
    <xf numFmtId="195" fontId="134" fillId="21" borderId="44"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176" fontId="134" fillId="21" borderId="2" xfId="0" applyNumberFormat="1" applyFont="1" applyFill="1" applyBorder="1" applyAlignment="1">
      <alignment horizontal="right" vertical="center" wrapText="1"/>
    </xf>
    <xf numFmtId="0" fontId="82" fillId="0" borderId="167" xfId="0" applyFont="1" applyBorder="1" applyAlignment="1">
      <alignment horizontal="right" vertical="center"/>
    </xf>
    <xf numFmtId="0" fontId="82" fillId="0" borderId="168" xfId="0" applyFont="1" applyBorder="1" applyAlignment="1">
      <alignment horizontal="right" vertical="center"/>
    </xf>
    <xf numFmtId="0" fontId="82" fillId="0" borderId="0" xfId="0" applyFont="1" applyAlignment="1">
      <alignment horizontal="left" vertical="center"/>
    </xf>
    <xf numFmtId="185" fontId="82" fillId="0" borderId="0" xfId="0" applyNumberFormat="1" applyFont="1" applyFill="1" applyAlignment="1">
      <alignment horizontal="center" vertical="center"/>
    </xf>
    <xf numFmtId="0" fontId="82" fillId="0" borderId="167" xfId="0" applyFont="1" applyBorder="1" applyAlignment="1">
      <alignment horizontal="center" vertical="center"/>
    </xf>
    <xf numFmtId="0" fontId="82" fillId="0" borderId="168" xfId="0" applyFont="1" applyBorder="1" applyAlignment="1">
      <alignment horizontal="center" vertical="center"/>
    </xf>
    <xf numFmtId="0" fontId="82" fillId="20" borderId="6" xfId="0" applyNumberFormat="1" applyFont="1" applyFill="1" applyBorder="1" applyAlignment="1">
      <alignment horizontal="center" vertical="center" wrapText="1"/>
    </xf>
    <xf numFmtId="0" fontId="82" fillId="20" borderId="7" xfId="0" applyNumberFormat="1" applyFont="1" applyFill="1" applyBorder="1" applyAlignment="1">
      <alignment horizontal="center" vertical="center" wrapText="1"/>
    </xf>
    <xf numFmtId="0" fontId="82" fillId="3" borderId="9" xfId="0" applyNumberFormat="1" applyFont="1" applyFill="1" applyBorder="1" applyAlignment="1">
      <alignment vertical="center" wrapText="1"/>
    </xf>
    <xf numFmtId="195" fontId="82" fillId="0" borderId="2" xfId="18" applyNumberFormat="1" applyFont="1" applyFill="1" applyBorder="1" applyAlignment="1" applyProtection="1">
      <alignment horizontal="right" vertical="center"/>
      <protection locked="0"/>
    </xf>
    <xf numFmtId="195" fontId="82" fillId="0" borderId="12" xfId="0" applyNumberFormat="1" applyFont="1" applyFill="1" applyBorder="1" applyAlignment="1">
      <alignment horizontal="right" vertical="center"/>
    </xf>
    <xf numFmtId="195" fontId="82" fillId="0" borderId="2" xfId="0" applyNumberFormat="1" applyFont="1" applyFill="1" applyBorder="1" applyAlignment="1">
      <alignment horizontal="right" vertical="center"/>
    </xf>
    <xf numFmtId="195" fontId="82" fillId="0" borderId="10" xfId="15" applyNumberFormat="1" applyFont="1" applyFill="1" applyBorder="1" applyAlignment="1" applyProtection="1">
      <alignment horizontal="right" vertical="center" wrapText="1"/>
      <protection locked="0"/>
    </xf>
    <xf numFmtId="0" fontId="134" fillId="21" borderId="2" xfId="0" applyNumberFormat="1" applyFont="1" applyFill="1" applyBorder="1" applyAlignment="1">
      <alignment horizontal="center" vertical="center"/>
    </xf>
    <xf numFmtId="195" fontId="134" fillId="21" borderId="12" xfId="15" applyNumberFormat="1" applyFont="1" applyFill="1" applyBorder="1" applyAlignment="1">
      <alignment horizontal="right" vertical="center" wrapText="1"/>
    </xf>
    <xf numFmtId="195" fontId="134" fillId="21" borderId="169" xfId="15" applyNumberFormat="1" applyFont="1" applyFill="1" applyBorder="1" applyAlignment="1">
      <alignment horizontal="right" vertical="center" wrapText="1"/>
    </xf>
    <xf numFmtId="0" fontId="82" fillId="0" borderId="5" xfId="0" applyNumberFormat="1" applyFont="1" applyFill="1" applyBorder="1" applyAlignment="1">
      <alignment vertical="center" wrapText="1"/>
    </xf>
    <xf numFmtId="195" fontId="134" fillId="21" borderId="44" xfId="15" applyNumberFormat="1" applyFont="1" applyFill="1" applyBorder="1" applyAlignment="1">
      <alignment horizontal="right" vertical="center" wrapText="1"/>
    </xf>
    <xf numFmtId="176" fontId="134" fillId="21" borderId="11" xfId="0" applyNumberFormat="1" applyFont="1" applyFill="1" applyBorder="1" applyAlignment="1">
      <alignment horizontal="right" vertical="center" wrapText="1"/>
    </xf>
    <xf numFmtId="176" fontId="134" fillId="21" borderId="170" xfId="0" applyNumberFormat="1" applyFont="1" applyFill="1" applyBorder="1" applyAlignment="1">
      <alignment horizontal="right" vertical="center" wrapText="1"/>
    </xf>
    <xf numFmtId="0" fontId="82" fillId="0" borderId="171" xfId="0" applyFont="1" applyBorder="1" applyAlignment="1">
      <alignment horizontal="center" vertical="center"/>
    </xf>
    <xf numFmtId="0" fontId="127" fillId="0" borderId="0" xfId="0" applyFont="1" applyAlignment="1">
      <alignment vertical="center"/>
    </xf>
    <xf numFmtId="0" fontId="127" fillId="0" borderId="2" xfId="0" applyFont="1" applyBorder="1" applyAlignment="1">
      <alignment horizontal="center" vertical="center"/>
    </xf>
    <xf numFmtId="195" fontId="127" fillId="0" borderId="2" xfId="0" applyNumberFormat="1" applyFont="1" applyBorder="1" applyAlignment="1">
      <alignment horizontal="center" vertical="center"/>
    </xf>
    <xf numFmtId="176" fontId="0" fillId="0" borderId="0" xfId="0" applyNumberFormat="1" applyAlignment="1"/>
    <xf numFmtId="10" fontId="127" fillId="0" borderId="2" xfId="0" applyNumberFormat="1" applyFont="1" applyBorder="1" applyAlignment="1">
      <alignment horizontal="center" vertical="center"/>
    </xf>
    <xf numFmtId="176" fontId="127" fillId="0" borderId="2" xfId="0" applyNumberFormat="1" applyFont="1" applyBorder="1" applyAlignment="1">
      <alignment horizontal="center" vertical="center"/>
    </xf>
    <xf numFmtId="0" fontId="127" fillId="0" borderId="0" xfId="0" applyFont="1" applyAlignment="1">
      <alignment horizontal="center" vertical="center" wrapText="1"/>
    </xf>
    <xf numFmtId="10" fontId="127" fillId="0" borderId="0" xfId="0" applyNumberFormat="1" applyFont="1" applyAlignment="1">
      <alignment horizontal="center" vertical="center"/>
    </xf>
    <xf numFmtId="176" fontId="127" fillId="0" borderId="0" xfId="0" applyNumberFormat="1" applyFont="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9" fillId="5" borderId="0" xfId="0" applyNumberFormat="1" applyFont="1" applyFill="1" applyBorder="1" applyAlignment="1" applyProtection="1">
      <alignment horizontal="left" vertical="center"/>
      <protection locked="0"/>
    </xf>
    <xf numFmtId="182" fontId="228" fillId="5" borderId="0" xfId="0" applyNumberFormat="1" applyFont="1" applyFill="1" applyBorder="1" applyAlignment="1" applyProtection="1">
      <alignment horizontal="center" vertical="center" wrapText="1"/>
      <protection locked="0"/>
    </xf>
    <xf numFmtId="182" fontId="290" fillId="5" borderId="0" xfId="0" applyNumberFormat="1" applyFont="1" applyFill="1" applyAlignment="1" applyProtection="1">
      <alignment horizontal="center" vertical="center"/>
      <protection locked="0"/>
    </xf>
    <xf numFmtId="49" fontId="291" fillId="0" borderId="54" xfId="0" applyNumberFormat="1" applyFont="1" applyFill="1" applyBorder="1" applyAlignment="1" applyProtection="1">
      <alignment vertical="center"/>
      <protection locked="0"/>
    </xf>
    <xf numFmtId="0" fontId="290" fillId="5" borderId="0" xfId="0" applyFont="1" applyFill="1" applyAlignment="1" applyProtection="1">
      <alignment horizontal="left" vertical="center"/>
      <protection locked="0"/>
    </xf>
    <xf numFmtId="0" fontId="81" fillId="0" borderId="12" xfId="0"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34" fillId="5" borderId="0" xfId="0" applyFont="1" applyFill="1" applyBorder="1" applyAlignment="1" applyProtection="1">
      <alignment vertical="center"/>
      <protection locked="0"/>
    </xf>
    <xf numFmtId="0" fontId="263"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0" fontId="78" fillId="5" borderId="3" xfId="0" applyFont="1" applyFill="1" applyBorder="1" applyAlignment="1" applyProtection="1">
      <alignment horizontal="left"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76" fontId="82" fillId="17" borderId="2" xfId="15" applyFont="1" applyFill="1" applyBorder="1" applyAlignment="1">
      <alignment horizontal="left" vertical="center" wrapText="1"/>
    </xf>
    <xf numFmtId="0" fontId="82" fillId="19" borderId="2" xfId="0" applyNumberFormat="1" applyFont="1" applyFill="1" applyBorder="1" applyAlignment="1">
      <alignment horizontal="center" vertical="center" wrapText="1"/>
    </xf>
    <xf numFmtId="195" fontId="82" fillId="19" borderId="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0" fontId="82" fillId="19" borderId="5" xfId="0" applyNumberFormat="1" applyFont="1" applyFill="1" applyBorder="1" applyAlignment="1">
      <alignment horizontal="center" vertical="center" wrapText="1"/>
    </xf>
    <xf numFmtId="0" fontId="82" fillId="19" borderId="8" xfId="0" applyNumberFormat="1" applyFont="1" applyFill="1" applyBorder="1" applyAlignment="1">
      <alignment horizontal="center" vertical="center" wrapText="1"/>
    </xf>
    <xf numFmtId="0" fontId="82" fillId="19" borderId="9" xfId="0" applyNumberFormat="1" applyFont="1" applyFill="1" applyBorder="1" applyAlignment="1">
      <alignment horizontal="center" vertical="center" wrapText="1"/>
    </xf>
    <xf numFmtId="0" fontId="280" fillId="16" borderId="61" xfId="0" applyFont="1" applyFill="1" applyBorder="1" applyAlignment="1">
      <alignment horizontal="center" vertical="center"/>
    </xf>
    <xf numFmtId="0" fontId="134" fillId="19" borderId="1" xfId="0" applyNumberFormat="1" applyFont="1" applyFill="1" applyBorder="1" applyAlignment="1">
      <alignment horizontal="left" vertical="center" wrapText="1"/>
    </xf>
    <xf numFmtId="0" fontId="134" fillId="19" borderId="11" xfId="0" applyNumberFormat="1" applyFont="1" applyFill="1" applyBorder="1" applyAlignment="1">
      <alignment horizontal="left" vertical="center" wrapText="1"/>
    </xf>
    <xf numFmtId="0" fontId="134" fillId="17" borderId="27" xfId="0" applyNumberFormat="1" applyFont="1" applyFill="1" applyBorder="1" applyAlignment="1">
      <alignment horizontal="center" vertical="center" wrapText="1"/>
    </xf>
    <xf numFmtId="0" fontId="134" fillId="17" borderId="21" xfId="0" applyNumberFormat="1" applyFont="1" applyFill="1" applyBorder="1" applyAlignment="1">
      <alignment horizontal="center" vertical="center" wrapText="1"/>
    </xf>
    <xf numFmtId="195" fontId="82" fillId="17" borderId="2" xfId="15" applyNumberFormat="1" applyFont="1" applyFill="1" applyBorder="1" applyAlignment="1">
      <alignment horizontal="left" vertical="center" wrapText="1"/>
    </xf>
    <xf numFmtId="0" fontId="82" fillId="17" borderId="2" xfId="0" applyNumberFormat="1" applyFont="1" applyFill="1" applyBorder="1" applyAlignment="1">
      <alignment horizontal="left" vertical="center" wrapText="1"/>
    </xf>
    <xf numFmtId="195" fontId="134" fillId="16" borderId="158" xfId="15" applyNumberFormat="1" applyFont="1" applyFill="1" applyBorder="1" applyAlignment="1">
      <alignment horizontal="center" vertical="center" wrapText="1"/>
    </xf>
    <xf numFmtId="195" fontId="134" fillId="16" borderId="159" xfId="15" applyNumberFormat="1" applyFont="1" applyFill="1" applyBorder="1" applyAlignment="1">
      <alignment horizontal="center" vertical="center" wrapText="1"/>
    </xf>
    <xf numFmtId="0" fontId="82" fillId="0" borderId="10" xfId="0" applyNumberFormat="1" applyFont="1" applyFill="1" applyBorder="1" applyAlignment="1">
      <alignment horizontal="center" vertical="center" wrapText="1"/>
    </xf>
    <xf numFmtId="0" fontId="82" fillId="0" borderId="3" xfId="0" applyNumberFormat="1" applyFont="1" applyFill="1" applyBorder="1" applyAlignment="1">
      <alignment horizontal="center" vertical="center" wrapText="1"/>
    </xf>
    <xf numFmtId="0" fontId="82" fillId="0" borderId="21" xfId="0"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0" fontId="134" fillId="3" borderId="11" xfId="0" applyNumberFormat="1" applyFont="1" applyFill="1" applyBorder="1" applyAlignment="1">
      <alignment horizontal="center" vertical="center" wrapText="1"/>
    </xf>
    <xf numFmtId="195" fontId="134" fillId="21" borderId="5" xfId="15" applyNumberFormat="1" applyFont="1" applyFill="1" applyBorder="1" applyAlignment="1">
      <alignment horizontal="center" vertical="center" wrapText="1"/>
    </xf>
    <xf numFmtId="195" fontId="134" fillId="21" borderId="16" xfId="15" applyNumberFormat="1" applyFont="1" applyFill="1" applyBorder="1" applyAlignment="1">
      <alignment horizontal="center" vertical="center" wrapText="1"/>
    </xf>
    <xf numFmtId="195" fontId="134" fillId="16" borderId="64" xfId="15" applyNumberFormat="1" applyFont="1" applyFill="1" applyBorder="1" applyAlignment="1">
      <alignment horizontal="center" vertical="center" wrapText="1"/>
    </xf>
    <xf numFmtId="195" fontId="134" fillId="16" borderId="9" xfId="15" applyNumberFormat="1" applyFont="1" applyFill="1" applyBorder="1" applyAlignment="1">
      <alignment horizontal="center" vertical="center" wrapText="1"/>
    </xf>
    <xf numFmtId="0" fontId="82" fillId="21" borderId="2" xfId="0" applyNumberFormat="1" applyFont="1" applyFill="1" applyBorder="1" applyAlignment="1">
      <alignment horizontal="right" vertical="center" wrapText="1"/>
    </xf>
    <xf numFmtId="0" fontId="82" fillId="21" borderId="5" xfId="0" applyNumberFormat="1" applyFont="1" applyFill="1" applyBorder="1" applyAlignment="1">
      <alignment horizontal="right" vertical="center" wrapText="1"/>
    </xf>
    <xf numFmtId="0" fontId="82" fillId="0" borderId="5"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82" fillId="0" borderId="5" xfId="0" applyNumberFormat="1" applyFont="1" applyFill="1" applyBorder="1" applyAlignment="1">
      <alignment vertical="center" wrapText="1"/>
    </xf>
    <xf numFmtId="0" fontId="82" fillId="0" borderId="8" xfId="0" applyNumberFormat="1" applyFont="1" applyFill="1" applyBorder="1" applyAlignment="1">
      <alignment vertical="center" wrapText="1"/>
    </xf>
    <xf numFmtId="0" fontId="134" fillId="21" borderId="43" xfId="0" applyNumberFormat="1" applyFont="1" applyFill="1" applyBorder="1" applyAlignment="1">
      <alignment horizontal="center" vertical="center" wrapText="1"/>
    </xf>
    <xf numFmtId="0" fontId="134" fillId="21" borderId="44" xfId="0" applyNumberFormat="1" applyFont="1" applyFill="1" applyBorder="1" applyAlignment="1">
      <alignment horizontal="center" vertical="center" wrapText="1"/>
    </xf>
    <xf numFmtId="0" fontId="82" fillId="21" borderId="44" xfId="0" applyNumberFormat="1" applyFont="1" applyFill="1" applyBorder="1" applyAlignment="1">
      <alignment horizontal="center" vertical="center" wrapText="1"/>
    </xf>
    <xf numFmtId="0" fontId="82" fillId="21" borderId="46" xfId="0" applyNumberFormat="1" applyFont="1" applyFill="1" applyBorder="1" applyAlignment="1">
      <alignment horizontal="center" vertical="center" wrapText="1"/>
    </xf>
    <xf numFmtId="0" fontId="134" fillId="21" borderId="43"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0" fontId="82" fillId="21" borderId="44" xfId="0" applyNumberFormat="1" applyFont="1" applyFill="1" applyBorder="1" applyAlignment="1">
      <alignment horizontal="right" vertical="center" wrapText="1"/>
    </xf>
    <xf numFmtId="0" fontId="82" fillId="21" borderId="45" xfId="0" applyNumberFormat="1" applyFont="1" applyFill="1" applyBorder="1" applyAlignment="1">
      <alignment horizontal="right" vertical="center" wrapText="1"/>
    </xf>
    <xf numFmtId="0" fontId="134" fillId="0" borderId="53" xfId="0" applyFont="1" applyBorder="1" applyAlignment="1">
      <alignment horizontal="center" vertical="center" wrapText="1"/>
    </xf>
    <xf numFmtId="0" fontId="134" fillId="0" borderId="24" xfId="0" applyFont="1" applyBorder="1" applyAlignment="1">
      <alignment horizontal="center" vertical="center" wrapText="1"/>
    </xf>
    <xf numFmtId="0" fontId="134" fillId="0" borderId="50" xfId="0" applyFont="1" applyBorder="1" applyAlignment="1">
      <alignment horizontal="center" vertical="center" wrapText="1"/>
    </xf>
    <xf numFmtId="0" fontId="82" fillId="0" borderId="16" xfId="0" applyNumberFormat="1" applyFont="1" applyFill="1" applyBorder="1" applyAlignment="1">
      <alignment horizontal="center" vertical="center" wrapText="1"/>
    </xf>
    <xf numFmtId="0" fontId="82" fillId="0" borderId="4" xfId="0" applyNumberFormat="1" applyFont="1" applyFill="1" applyBorder="1" applyAlignment="1">
      <alignment horizontal="center" vertical="center" wrapText="1"/>
    </xf>
    <xf numFmtId="0" fontId="82" fillId="0" borderId="13" xfId="0" applyNumberFormat="1" applyFont="1" applyFill="1" applyBorder="1" applyAlignment="1">
      <alignment horizontal="center" vertical="center" wrapText="1"/>
    </xf>
    <xf numFmtId="0" fontId="82" fillId="0" borderId="16" xfId="0" applyNumberFormat="1" applyFont="1" applyFill="1" applyBorder="1" applyAlignment="1">
      <alignment vertical="center" wrapText="1"/>
    </xf>
    <xf numFmtId="185" fontId="127" fillId="0" borderId="2" xfId="0" applyNumberFormat="1" applyFont="1" applyFill="1" applyBorder="1" applyAlignment="1">
      <alignment horizontal="center" vertical="center"/>
    </xf>
    <xf numFmtId="176" fontId="127" fillId="0" borderId="5" xfId="0" applyNumberFormat="1" applyFont="1" applyBorder="1" applyAlignment="1">
      <alignment horizontal="left" vertical="center"/>
    </xf>
    <xf numFmtId="176" fontId="127" fillId="0" borderId="9" xfId="0" applyNumberFormat="1" applyFont="1" applyBorder="1" applyAlignment="1">
      <alignment horizontal="left" vertical="center"/>
    </xf>
    <xf numFmtId="0" fontId="82" fillId="21" borderId="2" xfId="0" applyNumberFormat="1" applyFont="1" applyFill="1" applyBorder="1" applyAlignment="1">
      <alignment horizontal="center" vertical="center" wrapText="1"/>
    </xf>
    <xf numFmtId="0" fontId="82" fillId="21" borderId="12" xfId="0"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88" fillId="0" borderId="22" xfId="0" applyFont="1" applyFill="1" applyBorder="1" applyAlignment="1" applyProtection="1">
      <alignment horizontal="center" vertical="center" wrapText="1"/>
      <protection locked="0"/>
    </xf>
    <xf numFmtId="0" fontId="288"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3232" xfId="16"/>
    <cellStyle name="百分比 2" xfId="11"/>
    <cellStyle name="常规" xfId="0" builtinId="0"/>
    <cellStyle name="常规 16" xfId="1"/>
    <cellStyle name="常规 2" xfId="2"/>
    <cellStyle name="常规 2 2" xfId="3"/>
    <cellStyle name="常规 2 2 2 2 3" xfId="12"/>
    <cellStyle name="常规 2 6" xfId="18"/>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9" xfId="17"/>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43;&#34892;/2017-1-%20&#24800;&#24030;/&#36164;&#26009;/&#20225;&#19994;&#25552;&#20379;&#36164;&#26009;/&#24800;&#24030;&#39033;&#30446;&#35780;&#20272;&#36164;&#26009;/&#40644;&#37329;&#28023;&#23736;&#12298;&#26041;&#26696;&#29256;&#30446;&#26631;&#25104;&#26412;&#22522;&#20934;&#27169;&#26495;&#65288;&#33829;&#25913;&#22686;&#65289;&#12299;V3&#65288;&#33829;&#25913;&#22686;&#19968;&#33324;&#35745;&#31246;&#65289;&#21335;&#22320;&#22359;(20170606&#29256;&#35268;&#21010;&#25351;2017-10-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83;&#21271;&#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WVCU"/>
      <sheetName val="P6O4"/>
      <sheetName val="OIUC"/>
      <sheetName val="4EUR"/>
      <sheetName val="总表"/>
      <sheetName val="填报流程说明"/>
      <sheetName val="成本编制指引"/>
      <sheetName val="封面"/>
      <sheetName val="表1 项目规划指标及收入计划"/>
      <sheetName val="销售预测表"/>
      <sheetName val="表2 项目总目标成本表"/>
      <sheetName val="表5 含增值税总投资计划及利润"/>
      <sheetName val="表9 建安工程造价分析表"/>
      <sheetName val="表6 分业态综合成本"/>
      <sheetName val="表5 总投资计划及利润"/>
      <sheetName val="表6 含增值税分业态综合成本"/>
      <sheetName val="表3 土地增值税表"/>
      <sheetName val="表7 分业态建安成本"/>
      <sheetName val="表7 含增值税分业态建安成本"/>
      <sheetName val="表4 增值税表"/>
      <sheetName val="成本付款表"/>
      <sheetName val="现金流-季"/>
      <sheetName val="成就共享测算-周期"/>
      <sheetName val="成就共享测算-首年"/>
      <sheetName val="现金流-年"/>
      <sheetName val="土地敏感性分析 "/>
      <sheetName val="表8 成本公摊汇总表"/>
      <sheetName val="成本科目释义v2"/>
      <sheetName val="填写说明"/>
      <sheetName val="1、项目基本情况"/>
      <sheetName val="2、经营指标概览"/>
      <sheetName val="3、经营指标分析"/>
      <sheetName val="4、规划指标分析"/>
      <sheetName val="5、车位指标分析"/>
      <sheetName val="6、项目配套跨期分摊表"/>
      <sheetName val="7、示范区成本策划"/>
      <sheetName val="8、建造成本适配策划（含车位售价分析）"/>
      <sheetName val="9.1、商业货值结构分析"/>
      <sheetName val="9.2、物业、售楼专题方案成本策划"/>
      <sheetName val="10、责任成本分解"/>
      <sheetName val="附件1 方案版与投资版对比分析"/>
      <sheetName val="附件1方案版目标成本审批表单"/>
      <sheetName val="附件1 成本策划及责任成本落实"/>
      <sheetName val="附件2建造标准及结构指标"/>
      <sheetName val="概述"/>
      <sheetName val="黄金海岸《方案版目标成本基准模板（营改增）》V3（营改增一般计"/>
    </sheetNames>
    <sheetDataSet>
      <sheetData sheetId="0"/>
      <sheetData sheetId="1"/>
      <sheetData sheetId="2"/>
      <sheetData sheetId="3"/>
      <sheetData sheetId="4"/>
      <sheetData sheetId="5"/>
      <sheetData sheetId="6"/>
      <sheetData sheetId="7">
        <row r="5">
          <cell r="C5" t="str">
            <v>惠深</v>
          </cell>
          <cell r="E5" t="str">
            <v>黄金海岸</v>
          </cell>
          <cell r="G5" t="str">
            <v>南地块</v>
          </cell>
        </row>
      </sheetData>
      <sheetData sheetId="8">
        <row r="3">
          <cell r="H3">
            <v>165.31341734329132</v>
          </cell>
        </row>
        <row r="34">
          <cell r="O34">
            <v>0</v>
          </cell>
          <cell r="P34">
            <v>0</v>
          </cell>
          <cell r="U34">
            <v>0</v>
          </cell>
        </row>
        <row r="35">
          <cell r="O35">
            <v>0</v>
          </cell>
          <cell r="P35">
            <v>0</v>
          </cell>
          <cell r="U35">
            <v>0</v>
          </cell>
        </row>
        <row r="40">
          <cell r="F40">
            <v>77471.58</v>
          </cell>
        </row>
        <row r="41">
          <cell r="F41">
            <v>9400</v>
          </cell>
        </row>
        <row r="44">
          <cell r="U44">
            <v>0</v>
          </cell>
        </row>
        <row r="45">
          <cell r="U45">
            <v>0</v>
          </cell>
        </row>
        <row r="46">
          <cell r="U46">
            <v>0</v>
          </cell>
        </row>
        <row r="47">
          <cell r="U47">
            <v>0</v>
          </cell>
        </row>
        <row r="48">
          <cell r="U48">
            <v>0</v>
          </cell>
        </row>
        <row r="49">
          <cell r="U49">
            <v>0</v>
          </cell>
        </row>
        <row r="50">
          <cell r="U50">
            <v>0</v>
          </cell>
        </row>
        <row r="51">
          <cell r="U51">
            <v>0</v>
          </cell>
        </row>
        <row r="53">
          <cell r="U53">
            <v>0</v>
          </cell>
        </row>
      </sheetData>
      <sheetData sheetId="9"/>
      <sheetData sheetId="10">
        <row r="3">
          <cell r="B3" t="str">
            <v>科目名称</v>
          </cell>
        </row>
        <row r="4">
          <cell r="P4">
            <v>100</v>
          </cell>
          <cell r="Q4">
            <v>125</v>
          </cell>
          <cell r="R4">
            <v>150</v>
          </cell>
          <cell r="S4" t="str">
            <v>1T4(30F)</v>
          </cell>
          <cell r="T4" t="str">
            <v>1T3(30F)</v>
          </cell>
          <cell r="U4" t="str">
            <v>LOFT(31F)</v>
          </cell>
          <cell r="V4" t="str">
            <v>1T2(31F)</v>
          </cell>
          <cell r="W4" t="str">
            <v>1T8(32F)</v>
          </cell>
          <cell r="X4" t="str">
            <v>中高层洋房</v>
          </cell>
          <cell r="Y4" t="str">
            <v>115高层洋房</v>
          </cell>
          <cell r="Z4" t="str">
            <v>超高层洋房</v>
          </cell>
          <cell r="AA4" t="str">
            <v>公寓</v>
          </cell>
          <cell r="AB4" t="str">
            <v>底商</v>
          </cell>
          <cell r="AC4" t="str">
            <v>商业街</v>
          </cell>
          <cell r="AD4" t="str">
            <v>综合楼</v>
          </cell>
          <cell r="AE4" t="str">
            <v>写字楼</v>
          </cell>
          <cell r="AF4" t="str">
            <v>地上计容车库</v>
          </cell>
          <cell r="AG4" t="str">
            <v>非人防地下室</v>
          </cell>
          <cell r="AH4" t="str">
            <v>人防地下室</v>
          </cell>
          <cell r="AI4" t="str">
            <v>酒店</v>
          </cell>
          <cell r="AJ4" t="str">
            <v>医院（自持）</v>
          </cell>
          <cell r="AK4" t="str">
            <v>独立会所（综合楼）</v>
          </cell>
          <cell r="AL4" t="str">
            <v>活动中心</v>
          </cell>
          <cell r="AM4" t="str">
            <v>商贸市场</v>
          </cell>
          <cell r="AN4" t="str">
            <v>医院</v>
          </cell>
          <cell r="AO4" t="str">
            <v>幼儿园</v>
          </cell>
          <cell r="AP4" t="str">
            <v>学校</v>
          </cell>
          <cell r="AQ4" t="str">
            <v>员工宿舍</v>
          </cell>
        </row>
        <row r="5">
          <cell r="A5" t="str">
            <v>面积技术指标</v>
          </cell>
          <cell r="B5" t="str">
            <v>占地面积</v>
          </cell>
          <cell r="E5">
            <v>110208.99539942089</v>
          </cell>
          <cell r="P5">
            <v>0</v>
          </cell>
          <cell r="Q5">
            <v>41671.875</v>
          </cell>
          <cell r="R5">
            <v>3653.125</v>
          </cell>
          <cell r="S5">
            <v>50974.766252619287</v>
          </cell>
          <cell r="T5">
            <v>11909.229146801601</v>
          </cell>
          <cell r="U5">
            <v>0</v>
          </cell>
          <cell r="V5">
            <v>0</v>
          </cell>
          <cell r="W5">
            <v>0</v>
          </cell>
          <cell r="X5">
            <v>0</v>
          </cell>
          <cell r="Y5">
            <v>0</v>
          </cell>
          <cell r="Z5">
            <v>0</v>
          </cell>
          <cell r="AA5">
            <v>0</v>
          </cell>
          <cell r="AB5">
            <v>2000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110208.99539942089</v>
          </cell>
          <cell r="AS5">
            <v>0</v>
          </cell>
        </row>
        <row r="6">
          <cell r="B6" t="str">
            <v>占地面积分摊系数</v>
          </cell>
          <cell r="P6">
            <v>0</v>
          </cell>
          <cell r="Q6">
            <v>0.37811682112673511</v>
          </cell>
          <cell r="R6">
            <v>3.3147248886175727E-2</v>
          </cell>
          <cell r="S6">
            <v>0.46252818173213417</v>
          </cell>
          <cell r="T6">
            <v>0.10806040925824627</v>
          </cell>
          <cell r="U6">
            <v>0</v>
          </cell>
          <cell r="V6">
            <v>0</v>
          </cell>
          <cell r="W6">
            <v>0</v>
          </cell>
          <cell r="X6">
            <v>0</v>
          </cell>
          <cell r="Y6">
            <v>0</v>
          </cell>
          <cell r="Z6">
            <v>0</v>
          </cell>
          <cell r="AA6">
            <v>0</v>
          </cell>
          <cell r="AB6">
            <v>1.8147338996708697E-2</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0.99999999999999989</v>
          </cell>
          <cell r="AS6">
            <v>0.99999999999999989</v>
          </cell>
        </row>
        <row r="7">
          <cell r="B7" t="str">
            <v>建筑面积</v>
          </cell>
          <cell r="E7">
            <v>241586.90000000002</v>
          </cell>
          <cell r="P7">
            <v>0</v>
          </cell>
          <cell r="Q7">
            <v>26670</v>
          </cell>
          <cell r="R7">
            <v>2338</v>
          </cell>
          <cell r="S7">
            <v>100279.12</v>
          </cell>
          <cell r="T7">
            <v>23428.2</v>
          </cell>
          <cell r="U7">
            <v>0</v>
          </cell>
          <cell r="V7">
            <v>0</v>
          </cell>
          <cell r="W7">
            <v>0</v>
          </cell>
          <cell r="X7">
            <v>0</v>
          </cell>
          <cell r="Y7">
            <v>0</v>
          </cell>
          <cell r="Z7">
            <v>0</v>
          </cell>
          <cell r="AA7">
            <v>0</v>
          </cell>
          <cell r="AB7">
            <v>2000</v>
          </cell>
          <cell r="AC7">
            <v>0</v>
          </cell>
          <cell r="AD7">
            <v>0</v>
          </cell>
          <cell r="AE7">
            <v>0</v>
          </cell>
          <cell r="AF7">
            <v>0</v>
          </cell>
          <cell r="AG7">
            <v>77471.58</v>
          </cell>
          <cell r="AH7">
            <v>9400</v>
          </cell>
          <cell r="AI7">
            <v>0</v>
          </cell>
          <cell r="AJ7">
            <v>0</v>
          </cell>
          <cell r="AK7">
            <v>0</v>
          </cell>
          <cell r="AL7">
            <v>0</v>
          </cell>
          <cell r="AM7">
            <v>0</v>
          </cell>
          <cell r="AN7">
            <v>0</v>
          </cell>
          <cell r="AO7">
            <v>0</v>
          </cell>
          <cell r="AP7">
            <v>0</v>
          </cell>
          <cell r="AQ7">
            <v>0</v>
          </cell>
          <cell r="AR7">
            <v>241586.90000000002</v>
          </cell>
          <cell r="AS7">
            <v>0</v>
          </cell>
        </row>
        <row r="8">
          <cell r="B8" t="str">
            <v>建筑面积分摊系数</v>
          </cell>
          <cell r="P8">
            <v>0</v>
          </cell>
          <cell r="Q8">
            <v>0.1103950586724694</v>
          </cell>
          <cell r="R8">
            <v>9.6776770594763206E-3</v>
          </cell>
          <cell r="S8">
            <v>0.41508508946470185</v>
          </cell>
          <cell r="T8">
            <v>9.6976284724047526E-2</v>
          </cell>
          <cell r="U8">
            <v>0</v>
          </cell>
          <cell r="V8">
            <v>0</v>
          </cell>
          <cell r="W8">
            <v>0</v>
          </cell>
          <cell r="X8">
            <v>0</v>
          </cell>
          <cell r="Y8">
            <v>0</v>
          </cell>
          <cell r="Z8">
            <v>0</v>
          </cell>
          <cell r="AA8">
            <v>0</v>
          </cell>
          <cell r="AB8">
            <v>8.2785945761131904E-3</v>
          </cell>
          <cell r="AC8">
            <v>0</v>
          </cell>
          <cell r="AD8">
            <v>0</v>
          </cell>
          <cell r="AE8">
            <v>0</v>
          </cell>
          <cell r="AF8">
            <v>0</v>
          </cell>
          <cell r="AG8">
            <v>0.32067790099545956</v>
          </cell>
          <cell r="AH8">
            <v>3.8909394507731995E-2</v>
          </cell>
          <cell r="AI8">
            <v>0</v>
          </cell>
          <cell r="AJ8">
            <v>0</v>
          </cell>
          <cell r="AK8">
            <v>0</v>
          </cell>
          <cell r="AL8">
            <v>0</v>
          </cell>
          <cell r="AM8">
            <v>0</v>
          </cell>
          <cell r="AN8">
            <v>0</v>
          </cell>
          <cell r="AO8">
            <v>0</v>
          </cell>
          <cell r="AP8">
            <v>0</v>
          </cell>
          <cell r="AQ8">
            <v>0</v>
          </cell>
          <cell r="AR8">
            <v>0.99999999999999989</v>
          </cell>
          <cell r="AS8">
            <v>0.99999999999999989</v>
          </cell>
        </row>
        <row r="9">
          <cell r="B9" t="str">
            <v>可售面积</v>
          </cell>
          <cell r="E9">
            <v>154715.32</v>
          </cell>
          <cell r="P9">
            <v>0</v>
          </cell>
          <cell r="Q9">
            <v>26670</v>
          </cell>
          <cell r="R9">
            <v>2338</v>
          </cell>
          <cell r="S9">
            <v>100279.12</v>
          </cell>
          <cell r="T9">
            <v>23428.2</v>
          </cell>
          <cell r="U9">
            <v>0</v>
          </cell>
          <cell r="V9">
            <v>0</v>
          </cell>
          <cell r="W9">
            <v>0</v>
          </cell>
          <cell r="X9">
            <v>0</v>
          </cell>
          <cell r="Y9">
            <v>0</v>
          </cell>
          <cell r="Z9">
            <v>0</v>
          </cell>
          <cell r="AA9">
            <v>0</v>
          </cell>
          <cell r="AB9">
            <v>2000</v>
          </cell>
          <cell r="AC9">
            <v>0</v>
          </cell>
          <cell r="AD9">
            <v>0</v>
          </cell>
          <cell r="AE9">
            <v>0</v>
          </cell>
          <cell r="AF9">
            <v>0</v>
          </cell>
          <cell r="AG9">
            <v>77471.58</v>
          </cell>
          <cell r="AH9">
            <v>0</v>
          </cell>
          <cell r="AI9">
            <v>0</v>
          </cell>
          <cell r="AJ9">
            <v>0</v>
          </cell>
          <cell r="AK9">
            <v>0</v>
          </cell>
          <cell r="AL9">
            <v>0</v>
          </cell>
          <cell r="AM9">
            <v>0</v>
          </cell>
          <cell r="AN9">
            <v>0</v>
          </cell>
          <cell r="AO9">
            <v>0</v>
          </cell>
          <cell r="AP9">
            <v>0</v>
          </cell>
          <cell r="AQ9">
            <v>0</v>
          </cell>
          <cell r="AR9">
            <v>232186.90000000002</v>
          </cell>
          <cell r="AS9">
            <v>1.4551915228366852E-11</v>
          </cell>
        </row>
        <row r="10">
          <cell r="B10" t="str">
            <v>可售面积分摊系数</v>
          </cell>
          <cell r="P10">
            <v>0</v>
          </cell>
          <cell r="Q10">
            <v>0.11486436142607527</v>
          </cell>
          <cell r="R10">
            <v>1.0069474203755681E-2</v>
          </cell>
          <cell r="S10">
            <v>0.43188965441202748</v>
          </cell>
          <cell r="T10">
            <v>0.10090233342191139</v>
          </cell>
          <cell r="U10">
            <v>0</v>
          </cell>
          <cell r="V10">
            <v>0</v>
          </cell>
          <cell r="W10">
            <v>0</v>
          </cell>
          <cell r="X10">
            <v>0</v>
          </cell>
          <cell r="Y10">
            <v>0</v>
          </cell>
          <cell r="Z10">
            <v>0</v>
          </cell>
          <cell r="AA10">
            <v>0</v>
          </cell>
          <cell r="AB10">
            <v>8.6137503881571261E-3</v>
          </cell>
          <cell r="AC10">
            <v>0</v>
          </cell>
          <cell r="AD10">
            <v>0</v>
          </cell>
          <cell r="AE10">
            <v>0</v>
          </cell>
          <cell r="AF10">
            <v>0</v>
          </cell>
          <cell r="AG10">
            <v>0.33366042614807295</v>
          </cell>
          <cell r="AH10">
            <v>0</v>
          </cell>
          <cell r="AI10">
            <v>0</v>
          </cell>
          <cell r="AJ10">
            <v>0</v>
          </cell>
          <cell r="AK10">
            <v>0</v>
          </cell>
          <cell r="AL10">
            <v>0</v>
          </cell>
          <cell r="AM10">
            <v>0</v>
          </cell>
          <cell r="AN10">
            <v>0</v>
          </cell>
          <cell r="AO10">
            <v>0</v>
          </cell>
          <cell r="AP10">
            <v>0</v>
          </cell>
          <cell r="AQ10">
            <v>0</v>
          </cell>
          <cell r="AR10">
            <v>1</v>
          </cell>
          <cell r="AS10">
            <v>1</v>
          </cell>
        </row>
        <row r="11">
          <cell r="B11" t="str">
            <v>计容面积</v>
          </cell>
          <cell r="E11">
            <v>154715.32</v>
          </cell>
          <cell r="P11">
            <v>0</v>
          </cell>
          <cell r="Q11">
            <v>26670</v>
          </cell>
          <cell r="R11">
            <v>2338</v>
          </cell>
          <cell r="S11">
            <v>100279.12</v>
          </cell>
          <cell r="T11">
            <v>23428.2</v>
          </cell>
          <cell r="U11">
            <v>0</v>
          </cell>
          <cell r="V11">
            <v>0</v>
          </cell>
          <cell r="W11">
            <v>0</v>
          </cell>
          <cell r="X11">
            <v>0</v>
          </cell>
          <cell r="Y11">
            <v>0</v>
          </cell>
          <cell r="Z11">
            <v>0</v>
          </cell>
          <cell r="AA11">
            <v>0</v>
          </cell>
          <cell r="AB11">
            <v>2000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154715.32</v>
          </cell>
          <cell r="AS11">
            <v>0</v>
          </cell>
        </row>
        <row r="12">
          <cell r="B12" t="str">
            <v>计容面积分摊系数</v>
          </cell>
          <cell r="P12">
            <v>0</v>
          </cell>
          <cell r="Q12">
            <v>0.17238111907728335</v>
          </cell>
          <cell r="R12">
            <v>1.5111625661893082E-2</v>
          </cell>
          <cell r="S12">
            <v>0.64815249065186298</v>
          </cell>
          <cell r="T12">
            <v>0.15142779654917174</v>
          </cell>
          <cell r="U12">
            <v>0</v>
          </cell>
          <cell r="V12">
            <v>0</v>
          </cell>
          <cell r="W12">
            <v>0</v>
          </cell>
          <cell r="X12">
            <v>0</v>
          </cell>
          <cell r="Y12">
            <v>0</v>
          </cell>
          <cell r="Z12">
            <v>0</v>
          </cell>
          <cell r="AA12">
            <v>0</v>
          </cell>
          <cell r="AB12">
            <v>1.2926968059788779E-2</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0.99999999999999989</v>
          </cell>
          <cell r="AS12">
            <v>0.99999999999999989</v>
          </cell>
        </row>
        <row r="13">
          <cell r="A13" t="str">
            <v>辅助行</v>
          </cell>
          <cell r="B13" t="str">
            <v>填列土地加成系数</v>
          </cell>
          <cell r="P13">
            <v>1</v>
          </cell>
          <cell r="Q13">
            <v>1</v>
          </cell>
          <cell r="R13">
            <v>1</v>
          </cell>
          <cell r="S13">
            <v>1</v>
          </cell>
          <cell r="T13">
            <v>1</v>
          </cell>
          <cell r="U13">
            <v>1</v>
          </cell>
          <cell r="V13">
            <v>1</v>
          </cell>
          <cell r="W13">
            <v>1</v>
          </cell>
          <cell r="X13">
            <v>1</v>
          </cell>
          <cell r="Y13">
            <v>1</v>
          </cell>
          <cell r="Z13">
            <v>1</v>
          </cell>
          <cell r="AA13">
            <v>1</v>
          </cell>
          <cell r="AB13">
            <v>2.5</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29.5</v>
          </cell>
        </row>
        <row r="14">
          <cell r="B14" t="str">
            <v>对底商和产品合并分摊进行标示</v>
          </cell>
          <cell r="Y14" t="str">
            <v>c</v>
          </cell>
          <cell r="AB14" t="str">
            <v>c</v>
          </cell>
          <cell r="AR14">
            <v>0</v>
          </cell>
        </row>
        <row r="15">
          <cell r="B15" t="str">
            <v>加成后参与土地成本分摊的可售建筑面积</v>
          </cell>
          <cell r="P15">
            <v>0</v>
          </cell>
          <cell r="Q15">
            <v>26670</v>
          </cell>
          <cell r="R15">
            <v>2338</v>
          </cell>
          <cell r="S15">
            <v>100279.12</v>
          </cell>
          <cell r="T15">
            <v>23428.2</v>
          </cell>
          <cell r="U15">
            <v>0</v>
          </cell>
          <cell r="V15">
            <v>0</v>
          </cell>
          <cell r="W15">
            <v>0</v>
          </cell>
          <cell r="X15">
            <v>0</v>
          </cell>
          <cell r="Y15">
            <v>0</v>
          </cell>
          <cell r="Z15">
            <v>0</v>
          </cell>
          <cell r="AA15">
            <v>0</v>
          </cell>
          <cell r="AB15">
            <v>5000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157715.32</v>
          </cell>
        </row>
        <row r="16">
          <cell r="B16" t="str">
            <v>加成前 土地成本</v>
          </cell>
          <cell r="E16">
            <v>154292.6</v>
          </cell>
          <cell r="F16">
            <v>5500</v>
          </cell>
          <cell r="G16">
            <v>848609300</v>
          </cell>
          <cell r="J16">
            <v>5371.6750706476223</v>
          </cell>
          <cell r="L16">
            <v>828809713.00540543</v>
          </cell>
          <cell r="M16">
            <v>19799586.994594574</v>
          </cell>
          <cell r="O16" t="str">
            <v>占地面积</v>
          </cell>
          <cell r="P16">
            <v>0</v>
          </cell>
          <cell r="Q16">
            <v>313386894.00056559</v>
          </cell>
          <cell r="R16">
            <v>27472761.836270049</v>
          </cell>
          <cell r="S16">
            <v>383347849.55832213</v>
          </cell>
          <cell r="T16">
            <v>89561516.784573749</v>
          </cell>
          <cell r="U16">
            <v>0</v>
          </cell>
          <cell r="V16">
            <v>0</v>
          </cell>
          <cell r="W16">
            <v>0</v>
          </cell>
          <cell r="X16">
            <v>0</v>
          </cell>
          <cell r="Y16">
            <v>0</v>
          </cell>
          <cell r="Z16">
            <v>0</v>
          </cell>
          <cell r="AA16">
            <v>0</v>
          </cell>
          <cell r="AB16">
            <v>15040690.825673938</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828809713.00540555</v>
          </cell>
          <cell r="AS16">
            <v>0</v>
          </cell>
        </row>
        <row r="17">
          <cell r="B17" t="str">
            <v>加成前 土地出让价款（有票）</v>
          </cell>
          <cell r="E17">
            <v>154292.6</v>
          </cell>
          <cell r="F17">
            <v>1294.91519619217</v>
          </cell>
          <cell r="G17">
            <v>199795832.40000001</v>
          </cell>
          <cell r="I17">
            <v>0.11</v>
          </cell>
          <cell r="J17">
            <v>1166.5902668397928</v>
          </cell>
          <cell r="L17">
            <v>179996245.40540543</v>
          </cell>
          <cell r="M17">
            <v>19799586.994594574</v>
          </cell>
          <cell r="O17" t="str">
            <v>占地面积</v>
          </cell>
          <cell r="P17">
            <v>0</v>
          </cell>
          <cell r="Q17">
            <v>68059608.127439603</v>
          </cell>
          <cell r="R17">
            <v>5966380.3450301383</v>
          </cell>
          <cell r="S17">
            <v>83253336.105973184</v>
          </cell>
          <cell r="T17">
            <v>19450467.943455841</v>
          </cell>
          <cell r="U17">
            <v>0</v>
          </cell>
          <cell r="V17">
            <v>0</v>
          </cell>
          <cell r="W17">
            <v>0</v>
          </cell>
          <cell r="X17">
            <v>0</v>
          </cell>
          <cell r="Y17">
            <v>0</v>
          </cell>
          <cell r="Z17">
            <v>0</v>
          </cell>
          <cell r="AA17">
            <v>0</v>
          </cell>
          <cell r="AB17">
            <v>3266452.8835066627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179996245.40540543</v>
          </cell>
          <cell r="AS17">
            <v>0</v>
          </cell>
        </row>
        <row r="18">
          <cell r="B18" t="str">
            <v>加成前 土地转让价款（有票）</v>
          </cell>
          <cell r="E18">
            <v>154292.6</v>
          </cell>
          <cell r="F18">
            <v>0</v>
          </cell>
          <cell r="G18">
            <v>0</v>
          </cell>
          <cell r="I18">
            <v>0.05</v>
          </cell>
          <cell r="J18">
            <v>0</v>
          </cell>
          <cell r="L18">
            <v>0</v>
          </cell>
          <cell r="M18">
            <v>0</v>
          </cell>
          <cell r="O18" t="str">
            <v>占地面积</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B19" t="str">
            <v>加成前 无票土地款</v>
          </cell>
          <cell r="E19">
            <v>154292.6</v>
          </cell>
          <cell r="F19">
            <v>4205.0848038078302</v>
          </cell>
          <cell r="G19">
            <v>648813467.60000002</v>
          </cell>
          <cell r="I19">
            <v>0</v>
          </cell>
          <cell r="J19">
            <v>4205.0848038078302</v>
          </cell>
          <cell r="L19">
            <v>648813467.60000002</v>
          </cell>
          <cell r="M19">
            <v>0</v>
          </cell>
          <cell r="O19" t="str">
            <v>占地面积</v>
          </cell>
          <cell r="P19">
            <v>0</v>
          </cell>
          <cell r="Q19">
            <v>245327285.87312597</v>
          </cell>
          <cell r="R19">
            <v>21506381.491239913</v>
          </cell>
          <cell r="S19">
            <v>300094513.45234895</v>
          </cell>
          <cell r="T19">
            <v>70111048.841117904</v>
          </cell>
          <cell r="U19">
            <v>0</v>
          </cell>
          <cell r="V19">
            <v>0</v>
          </cell>
          <cell r="W19">
            <v>0</v>
          </cell>
          <cell r="X19">
            <v>0</v>
          </cell>
          <cell r="Y19">
            <v>0</v>
          </cell>
          <cell r="Z19">
            <v>0</v>
          </cell>
          <cell r="AA19">
            <v>0</v>
          </cell>
          <cell r="AB19">
            <v>11774237.942167275</v>
          </cell>
          <cell r="AC19">
            <v>0</v>
          </cell>
          <cell r="AD19">
            <v>0</v>
          </cell>
          <cell r="AE19">
            <v>0</v>
          </cell>
          <cell r="AF19">
            <v>0</v>
          </cell>
          <cell r="AG19">
            <v>0</v>
          </cell>
          <cell r="AH19">
            <v>0</v>
          </cell>
          <cell r="AR19">
            <v>648813467.5999999</v>
          </cell>
          <cell r="AS19">
            <v>0</v>
          </cell>
        </row>
        <row r="20">
          <cell r="B20" t="str">
            <v>加成前 拆迁补偿费及其他</v>
          </cell>
          <cell r="E20">
            <v>154292.6</v>
          </cell>
          <cell r="F20">
            <v>0</v>
          </cell>
          <cell r="G20">
            <v>0</v>
          </cell>
          <cell r="I20">
            <v>0</v>
          </cell>
          <cell r="J20">
            <v>0</v>
          </cell>
          <cell r="L20">
            <v>0</v>
          </cell>
          <cell r="M20">
            <v>0</v>
          </cell>
          <cell r="O20" t="str">
            <v>占地面积</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B21" t="str">
            <v>加成前 契税</v>
          </cell>
          <cell r="E21">
            <v>154292.6</v>
          </cell>
          <cell r="F21">
            <v>0</v>
          </cell>
          <cell r="G21">
            <v>0</v>
          </cell>
          <cell r="I21">
            <v>0</v>
          </cell>
          <cell r="J21">
            <v>0</v>
          </cell>
          <cell r="L21">
            <v>0</v>
          </cell>
          <cell r="M21">
            <v>0</v>
          </cell>
          <cell r="O21" t="str">
            <v>占地面积</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B22" t="str">
            <v>加成前 我司土地溢价款</v>
          </cell>
          <cell r="E22">
            <v>154292.6</v>
          </cell>
          <cell r="F22">
            <v>0</v>
          </cell>
          <cell r="G22">
            <v>0</v>
          </cell>
          <cell r="J22">
            <v>0</v>
          </cell>
          <cell r="L22">
            <v>0</v>
          </cell>
          <cell r="O22" t="str">
            <v>占地面积</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R22">
            <v>0</v>
          </cell>
          <cell r="AS22">
            <v>0</v>
          </cell>
        </row>
        <row r="23">
          <cell r="A23" t="str">
            <v>01</v>
          </cell>
          <cell r="B23" t="str">
            <v>土地成本</v>
          </cell>
          <cell r="C23" t="str">
            <v>占地面积</v>
          </cell>
          <cell r="E23">
            <v>154292.6</v>
          </cell>
          <cell r="F23">
            <v>5500</v>
          </cell>
          <cell r="G23">
            <v>848609300</v>
          </cell>
          <cell r="I23">
            <v>2.3889183106696341E-2</v>
          </cell>
          <cell r="J23">
            <v>5371.6750706476223</v>
          </cell>
          <cell r="K23">
            <v>128.32492935237769</v>
          </cell>
          <cell r="L23">
            <v>828809713.00540543</v>
          </cell>
          <cell r="M23">
            <v>19799586.994594574</v>
          </cell>
          <cell r="P23">
            <v>0</v>
          </cell>
          <cell r="Q23">
            <v>313386894.00056559</v>
          </cell>
          <cell r="R23">
            <v>27472761.836270049</v>
          </cell>
          <cell r="S23">
            <v>383347849.55832213</v>
          </cell>
          <cell r="T23">
            <v>89561516.784573749</v>
          </cell>
          <cell r="U23">
            <v>0</v>
          </cell>
          <cell r="V23">
            <v>0</v>
          </cell>
          <cell r="W23">
            <v>0</v>
          </cell>
          <cell r="X23">
            <v>0</v>
          </cell>
          <cell r="Y23">
            <v>0</v>
          </cell>
          <cell r="Z23">
            <v>0</v>
          </cell>
          <cell r="AA23">
            <v>0</v>
          </cell>
          <cell r="AB23">
            <v>15040690.825673938</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828809713.00540531</v>
          </cell>
          <cell r="AS23">
            <v>0</v>
          </cell>
        </row>
        <row r="24">
          <cell r="A24" t="str">
            <v>01.01</v>
          </cell>
          <cell r="B24" t="str">
            <v>土地出让金</v>
          </cell>
          <cell r="C24" t="str">
            <v>占地面积</v>
          </cell>
          <cell r="D24" t="str">
            <v>m2</v>
          </cell>
          <cell r="E24">
            <v>154292.6</v>
          </cell>
          <cell r="F24">
            <v>5500</v>
          </cell>
          <cell r="G24">
            <v>848609300</v>
          </cell>
          <cell r="I24">
            <v>0</v>
          </cell>
          <cell r="J24">
            <v>5371.6750706476223</v>
          </cell>
          <cell r="K24">
            <v>128.32492935237769</v>
          </cell>
          <cell r="L24">
            <v>828809713.00540543</v>
          </cell>
          <cell r="M24">
            <v>19799586.994594574</v>
          </cell>
          <cell r="O24" t="str">
            <v>占地面积</v>
          </cell>
          <cell r="P24">
            <v>0</v>
          </cell>
          <cell r="Q24">
            <v>313386894.00056559</v>
          </cell>
          <cell r="R24">
            <v>27472761.836270049</v>
          </cell>
          <cell r="S24">
            <v>383347849.55832213</v>
          </cell>
          <cell r="T24">
            <v>89561516.784573749</v>
          </cell>
          <cell r="U24">
            <v>0</v>
          </cell>
          <cell r="V24">
            <v>0</v>
          </cell>
          <cell r="W24">
            <v>0</v>
          </cell>
          <cell r="X24">
            <v>0</v>
          </cell>
          <cell r="Y24">
            <v>0</v>
          </cell>
          <cell r="Z24">
            <v>0</v>
          </cell>
          <cell r="AA24">
            <v>0</v>
          </cell>
          <cell r="AB24">
            <v>15040690.825673938</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828809713.00540531</v>
          </cell>
          <cell r="AS24">
            <v>0</v>
          </cell>
        </row>
        <row r="25">
          <cell r="B25" t="str">
            <v>土地出让价款（有票）</v>
          </cell>
          <cell r="C25" t="str">
            <v>占地面积</v>
          </cell>
          <cell r="D25" t="str">
            <v>m3</v>
          </cell>
          <cell r="E25">
            <v>154292.6</v>
          </cell>
          <cell r="F25">
            <v>1294.91519619217</v>
          </cell>
          <cell r="G25">
            <v>199795832.40000001</v>
          </cell>
          <cell r="I25">
            <v>0.11</v>
          </cell>
          <cell r="J25">
            <v>1166.5902668397928</v>
          </cell>
          <cell r="K25">
            <v>128.32492935237724</v>
          </cell>
          <cell r="L25">
            <v>179996245.40540543</v>
          </cell>
          <cell r="M25">
            <v>19799586.994594574</v>
          </cell>
          <cell r="N25" t="str">
            <v>目标公司已经通过招拍挂的方式获取其中首期地块（约102亩）的土地使用权，并已付清土地出让金及税费5555万元。</v>
          </cell>
          <cell r="O25" t="str">
            <v>占地面积</v>
          </cell>
          <cell r="P25">
            <v>0</v>
          </cell>
          <cell r="Q25">
            <v>68059608.127439603</v>
          </cell>
          <cell r="R25">
            <v>5966380.3450301383</v>
          </cell>
          <cell r="S25">
            <v>83253336.105973184</v>
          </cell>
          <cell r="T25">
            <v>19450467.943455841</v>
          </cell>
          <cell r="U25">
            <v>0</v>
          </cell>
          <cell r="V25">
            <v>0</v>
          </cell>
          <cell r="W25">
            <v>0</v>
          </cell>
          <cell r="X25">
            <v>0</v>
          </cell>
          <cell r="Y25">
            <v>0</v>
          </cell>
          <cell r="Z25">
            <v>0</v>
          </cell>
          <cell r="AA25">
            <v>0</v>
          </cell>
          <cell r="AB25">
            <v>3266452.8835066627</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179996245.40540543</v>
          </cell>
          <cell r="AS25">
            <v>0</v>
          </cell>
        </row>
        <row r="26">
          <cell r="B26" t="str">
            <v>土地转让价款（有票）</v>
          </cell>
          <cell r="C26" t="str">
            <v>占地面积</v>
          </cell>
          <cell r="D26" t="str">
            <v>m3</v>
          </cell>
          <cell r="E26">
            <v>154292.6</v>
          </cell>
          <cell r="G26">
            <v>0</v>
          </cell>
          <cell r="H26" t="str">
            <v>销售方简易征收</v>
          </cell>
          <cell r="I26">
            <v>0.05</v>
          </cell>
          <cell r="J26">
            <v>0</v>
          </cell>
          <cell r="K26">
            <v>0</v>
          </cell>
          <cell r="L26">
            <v>0</v>
          </cell>
          <cell r="M26">
            <v>0</v>
          </cell>
          <cell r="O26" t="str">
            <v>占地面积</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B27" t="str">
            <v>无票土地款</v>
          </cell>
          <cell r="C27" t="str">
            <v>占地面积</v>
          </cell>
          <cell r="D27" t="str">
            <v>m4</v>
          </cell>
          <cell r="E27">
            <v>154292.6</v>
          </cell>
          <cell r="F27">
            <v>4205.0848038078302</v>
          </cell>
          <cell r="G27">
            <v>648813467.60000002</v>
          </cell>
          <cell r="I27">
            <v>0</v>
          </cell>
          <cell r="J27">
            <v>4205.0848038078302</v>
          </cell>
          <cell r="K27">
            <v>0</v>
          </cell>
          <cell r="L27">
            <v>648813467.60000002</v>
          </cell>
          <cell r="M27">
            <v>0</v>
          </cell>
          <cell r="O27" t="str">
            <v>占地面积</v>
          </cell>
          <cell r="P27">
            <v>0</v>
          </cell>
          <cell r="Q27">
            <v>245327285.87312597</v>
          </cell>
          <cell r="R27">
            <v>21506381.491239913</v>
          </cell>
          <cell r="S27">
            <v>300094513.45234895</v>
          </cell>
          <cell r="T27">
            <v>70111048.841117904</v>
          </cell>
          <cell r="U27">
            <v>0</v>
          </cell>
          <cell r="V27">
            <v>0</v>
          </cell>
          <cell r="W27">
            <v>0</v>
          </cell>
          <cell r="X27">
            <v>0</v>
          </cell>
          <cell r="Y27">
            <v>0</v>
          </cell>
          <cell r="Z27">
            <v>0</v>
          </cell>
          <cell r="AA27">
            <v>0</v>
          </cell>
          <cell r="AB27">
            <v>11774237.942167275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648813467.5999999</v>
          </cell>
          <cell r="AS27">
            <v>0</v>
          </cell>
        </row>
        <row r="28">
          <cell r="A28" t="str">
            <v>01.02</v>
          </cell>
          <cell r="B28" t="str">
            <v>拆迁补偿及相关费用</v>
          </cell>
          <cell r="C28" t="str">
            <v>占地面积</v>
          </cell>
          <cell r="D28" t="str">
            <v>m2</v>
          </cell>
          <cell r="E28">
            <v>154292.6</v>
          </cell>
          <cell r="I28">
            <v>0</v>
          </cell>
          <cell r="J28">
            <v>0</v>
          </cell>
          <cell r="K28">
            <v>0</v>
          </cell>
          <cell r="L28">
            <v>0</v>
          </cell>
          <cell r="M28">
            <v>0</v>
          </cell>
          <cell r="N28" t="str">
            <v>由合作方负责</v>
          </cell>
          <cell r="O28" t="str">
            <v>占地面积</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A29" t="str">
            <v>01.03</v>
          </cell>
          <cell r="B29" t="str">
            <v>契税</v>
          </cell>
          <cell r="C29" t="str">
            <v>占地面积</v>
          </cell>
          <cell r="D29" t="str">
            <v>m2</v>
          </cell>
          <cell r="E29">
            <v>154292.6</v>
          </cell>
          <cell r="G29">
            <v>0</v>
          </cell>
          <cell r="I29">
            <v>0</v>
          </cell>
          <cell r="J29">
            <v>0</v>
          </cell>
          <cell r="K29">
            <v>0</v>
          </cell>
          <cell r="L29">
            <v>0</v>
          </cell>
          <cell r="M29">
            <v>0</v>
          </cell>
          <cell r="N29" t="str">
            <v>依据合作协议税费已缴纳</v>
          </cell>
          <cell r="O29" t="str">
            <v>占地面积</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row>
        <row r="30">
          <cell r="A30" t="str">
            <v>02</v>
          </cell>
          <cell r="B30" t="str">
            <v>行政事业性收费与前期工程费用</v>
          </cell>
          <cell r="C30" t="str">
            <v>建筑面积</v>
          </cell>
          <cell r="D30" t="str">
            <v>m2</v>
          </cell>
          <cell r="E30">
            <v>241586.90000000002</v>
          </cell>
          <cell r="F30">
            <v>323.35510011556948</v>
          </cell>
          <cell r="G30">
            <v>78118356.236110076</v>
          </cell>
          <cell r="I30">
            <v>5.9909571191047353E-2</v>
          </cell>
          <cell r="J30">
            <v>305.07800750606214</v>
          </cell>
          <cell r="K30">
            <v>18.277092609507349</v>
          </cell>
          <cell r="L30">
            <v>73702850.091566294</v>
          </cell>
          <cell r="M30">
            <v>4415506.1445437819</v>
          </cell>
          <cell r="P30">
            <v>0</v>
          </cell>
          <cell r="Q30">
            <v>14513480.647648357</v>
          </cell>
          <cell r="R30">
            <v>1272310.3769854463</v>
          </cell>
          <cell r="S30">
            <v>31723034.016201101</v>
          </cell>
          <cell r="T30">
            <v>7411449.0188821228</v>
          </cell>
          <cell r="U30">
            <v>0</v>
          </cell>
          <cell r="V30">
            <v>0</v>
          </cell>
          <cell r="W30">
            <v>0</v>
          </cell>
          <cell r="X30">
            <v>0</v>
          </cell>
          <cell r="Y30">
            <v>0</v>
          </cell>
          <cell r="Z30">
            <v>0</v>
          </cell>
          <cell r="AA30">
            <v>0</v>
          </cell>
          <cell r="AB30">
            <v>845226.47727281088</v>
          </cell>
          <cell r="AC30">
            <v>0</v>
          </cell>
          <cell r="AD30">
            <v>0</v>
          </cell>
          <cell r="AE30">
            <v>0</v>
          </cell>
          <cell r="AF30">
            <v>0</v>
          </cell>
          <cell r="AG30">
            <v>15996426.115483738</v>
          </cell>
          <cell r="AH30">
            <v>1940923.4390927244</v>
          </cell>
          <cell r="AI30">
            <v>0</v>
          </cell>
          <cell r="AJ30">
            <v>0</v>
          </cell>
          <cell r="AK30">
            <v>0</v>
          </cell>
          <cell r="AL30">
            <v>0</v>
          </cell>
          <cell r="AM30">
            <v>0</v>
          </cell>
          <cell r="AN30">
            <v>0</v>
          </cell>
          <cell r="AO30">
            <v>0</v>
          </cell>
          <cell r="AP30">
            <v>0</v>
          </cell>
          <cell r="AQ30">
            <v>0</v>
          </cell>
          <cell r="AR30">
            <v>73702850.091566294</v>
          </cell>
          <cell r="AS30">
            <v>0</v>
          </cell>
        </row>
        <row r="31">
          <cell r="A31" t="str">
            <v>02.01</v>
          </cell>
          <cell r="B31" t="str">
            <v>行政事业性收费</v>
          </cell>
          <cell r="C31" t="str">
            <v>建筑面积</v>
          </cell>
          <cell r="D31" t="str">
            <v>m2</v>
          </cell>
          <cell r="E31">
            <v>241586.90000000002</v>
          </cell>
          <cell r="F31">
            <v>115.4602313655156</v>
          </cell>
          <cell r="G31">
            <v>27893679.368877683</v>
          </cell>
          <cell r="I31">
            <v>8.1278936706761784E-3</v>
          </cell>
          <cell r="J31">
            <v>114.52934899471479</v>
          </cell>
          <cell r="K31">
            <v>0.93088237080080205</v>
          </cell>
          <cell r="L31">
            <v>27668790.382651266</v>
          </cell>
          <cell r="M31">
            <v>224888.98622641712</v>
          </cell>
          <cell r="P31">
            <v>0</v>
          </cell>
          <cell r="Q31">
            <v>3054497.7376890443</v>
          </cell>
          <cell r="R31">
            <v>267769.61794964317</v>
          </cell>
          <cell r="S31">
            <v>11484902.331362884</v>
          </cell>
          <cell r="T31">
            <v>2683216.4941179771</v>
          </cell>
          <cell r="U31">
            <v>0</v>
          </cell>
          <cell r="V31">
            <v>0</v>
          </cell>
          <cell r="W31">
            <v>0</v>
          </cell>
          <cell r="X31">
            <v>0</v>
          </cell>
          <cell r="Y31">
            <v>0</v>
          </cell>
          <cell r="Z31">
            <v>0</v>
          </cell>
          <cell r="AA31">
            <v>0</v>
          </cell>
          <cell r="AB31">
            <v>229058.69798942961</v>
          </cell>
          <cell r="AC31">
            <v>0</v>
          </cell>
          <cell r="AD31">
            <v>0</v>
          </cell>
          <cell r="AE31">
            <v>0</v>
          </cell>
          <cell r="AF31">
            <v>0</v>
          </cell>
          <cell r="AG31">
            <v>8872769.6229919661</v>
          </cell>
          <cell r="AH31">
            <v>1076575.8805503191</v>
          </cell>
          <cell r="AI31">
            <v>0</v>
          </cell>
          <cell r="AJ31">
            <v>0</v>
          </cell>
          <cell r="AK31">
            <v>0</v>
          </cell>
          <cell r="AL31">
            <v>0</v>
          </cell>
          <cell r="AM31">
            <v>0</v>
          </cell>
          <cell r="AN31">
            <v>0</v>
          </cell>
          <cell r="AO31">
            <v>0</v>
          </cell>
          <cell r="AP31">
            <v>0</v>
          </cell>
          <cell r="AQ31">
            <v>0</v>
          </cell>
          <cell r="AR31">
            <v>27668790.382651262</v>
          </cell>
          <cell r="AS31">
            <v>0</v>
          </cell>
        </row>
        <row r="32">
          <cell r="A32" t="str">
            <v>02.01.01</v>
          </cell>
          <cell r="B32" t="str">
            <v>报批报建费</v>
          </cell>
          <cell r="C32" t="str">
            <v>建筑面积</v>
          </cell>
          <cell r="D32" t="str">
            <v>m2</v>
          </cell>
          <cell r="E32">
            <v>241586.90000000002</v>
          </cell>
          <cell r="F32">
            <v>93.515448390942055</v>
          </cell>
          <cell r="G32">
            <v>22592107.278877683</v>
          </cell>
          <cell r="I32">
            <v>-3.3175532971256101E-3</v>
          </cell>
          <cell r="J32">
            <v>93.826723547003922</v>
          </cell>
          <cell r="K32">
            <v>-0.31127515606186762</v>
          </cell>
          <cell r="L32">
            <v>22667307.278877683</v>
          </cell>
          <cell r="M32">
            <v>-75200</v>
          </cell>
          <cell r="P32">
            <v>0</v>
          </cell>
          <cell r="Q32">
            <v>2502358.7169985948</v>
          </cell>
          <cell r="R32">
            <v>219366.87965289515</v>
          </cell>
          <cell r="S32">
            <v>9408861.2697768304</v>
          </cell>
          <cell r="T32">
            <v>2198191.244603917</v>
          </cell>
          <cell r="U32">
            <v>0</v>
          </cell>
          <cell r="V32">
            <v>0</v>
          </cell>
          <cell r="W32">
            <v>0</v>
          </cell>
          <cell r="X32">
            <v>0</v>
          </cell>
          <cell r="Y32">
            <v>0</v>
          </cell>
          <cell r="Z32">
            <v>0</v>
          </cell>
          <cell r="AA32">
            <v>0</v>
          </cell>
          <cell r="AB32">
            <v>187653.44709400783</v>
          </cell>
          <cell r="AC32">
            <v>0</v>
          </cell>
          <cell r="AD32">
            <v>0</v>
          </cell>
          <cell r="AE32">
            <v>0</v>
          </cell>
          <cell r="AF32">
            <v>0</v>
          </cell>
          <cell r="AG32">
            <v>7268904.5194095979</v>
          </cell>
          <cell r="AH32">
            <v>881971.20134183695</v>
          </cell>
          <cell r="AI32">
            <v>0</v>
          </cell>
          <cell r="AJ32">
            <v>0</v>
          </cell>
          <cell r="AK32">
            <v>0</v>
          </cell>
          <cell r="AL32">
            <v>0</v>
          </cell>
          <cell r="AM32">
            <v>0</v>
          </cell>
          <cell r="AN32">
            <v>0</v>
          </cell>
          <cell r="AO32">
            <v>0</v>
          </cell>
          <cell r="AP32">
            <v>0</v>
          </cell>
          <cell r="AQ32">
            <v>0</v>
          </cell>
          <cell r="AR32">
            <v>22667307.278877679</v>
          </cell>
          <cell r="AS32">
            <v>0</v>
          </cell>
        </row>
        <row r="33">
          <cell r="A33" t="str">
            <v>02.01.01.01</v>
          </cell>
          <cell r="B33" t="str">
            <v>基础设施建设配套费</v>
          </cell>
          <cell r="C33" t="str">
            <v>建筑面积</v>
          </cell>
          <cell r="D33" t="str">
            <v>m2</v>
          </cell>
          <cell r="E33">
            <v>241586.90000000002</v>
          </cell>
          <cell r="F33">
            <v>18.243586883229177</v>
          </cell>
          <cell r="G33">
            <v>4407411.5999999996</v>
          </cell>
          <cell r="I33">
            <v>0</v>
          </cell>
          <cell r="J33">
            <v>18.243586883229177</v>
          </cell>
          <cell r="K33">
            <v>0</v>
          </cell>
          <cell r="L33">
            <v>4407411.5999999996</v>
          </cell>
          <cell r="M33">
            <v>0</v>
          </cell>
          <cell r="N33" t="str">
            <v>按大亚湾地区行政规费缴费标准（建筑面积）：8层及以下24元/㎡、9层及以上30元/㎡；</v>
          </cell>
          <cell r="O33" t="str">
            <v>建筑面积</v>
          </cell>
          <cell r="P33">
            <v>0</v>
          </cell>
          <cell r="Q33">
            <v>486556.46217572223</v>
          </cell>
          <cell r="R33">
            <v>42653.506132989824</v>
          </cell>
          <cell r="S33">
            <v>1829450.8382937645</v>
          </cell>
          <cell r="T33">
            <v>427414.40221766982</v>
          </cell>
          <cell r="U33">
            <v>0</v>
          </cell>
          <cell r="V33">
            <v>0</v>
          </cell>
          <cell r="W33">
            <v>0</v>
          </cell>
          <cell r="X33">
            <v>0</v>
          </cell>
          <cell r="Y33">
            <v>0</v>
          </cell>
          <cell r="Z33">
            <v>0</v>
          </cell>
          <cell r="AA33">
            <v>0</v>
          </cell>
          <cell r="AB33">
            <v>36487.173766458356</v>
          </cell>
          <cell r="AC33">
            <v>0</v>
          </cell>
          <cell r="AD33">
            <v>0</v>
          </cell>
          <cell r="AE33">
            <v>0</v>
          </cell>
          <cell r="AF33">
            <v>0</v>
          </cell>
          <cell r="AG33">
            <v>1413359.5007110399</v>
          </cell>
          <cell r="AH33">
            <v>171489.71670235426</v>
          </cell>
          <cell r="AI33">
            <v>0</v>
          </cell>
          <cell r="AJ33">
            <v>0</v>
          </cell>
          <cell r="AK33">
            <v>0</v>
          </cell>
          <cell r="AL33">
            <v>0</v>
          </cell>
          <cell r="AM33">
            <v>0</v>
          </cell>
          <cell r="AN33">
            <v>0</v>
          </cell>
          <cell r="AO33">
            <v>0</v>
          </cell>
          <cell r="AP33">
            <v>0</v>
          </cell>
          <cell r="AQ33">
            <v>0</v>
          </cell>
          <cell r="AR33">
            <v>4407411.5999999987</v>
          </cell>
          <cell r="AS33">
            <v>0</v>
          </cell>
        </row>
        <row r="34">
          <cell r="A34" t="str">
            <v>02.01.01.02</v>
          </cell>
          <cell r="B34" t="str">
            <v>人防易地建设费</v>
          </cell>
          <cell r="C34" t="str">
            <v>人防面积</v>
          </cell>
          <cell r="D34" t="str">
            <v>m2</v>
          </cell>
          <cell r="E34">
            <v>4641.4596000000001</v>
          </cell>
          <cell r="G34">
            <v>0</v>
          </cell>
          <cell r="I34">
            <v>0</v>
          </cell>
          <cell r="J34">
            <v>0</v>
          </cell>
          <cell r="K34">
            <v>0</v>
          </cell>
          <cell r="L34">
            <v>0</v>
          </cell>
          <cell r="M34">
            <v>0</v>
          </cell>
          <cell r="N34" t="str">
            <v>人防应建面积：高层住宅按照建筑基底面积，10层以下按照总建筑面积的3%缴纳人防异地建设费，费用按照应建面积1000元/平方计算。</v>
          </cell>
          <cell r="O34" t="str">
            <v>建筑面积</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5">
          <cell r="A35" t="str">
            <v>02.01.01.03</v>
          </cell>
          <cell r="B35" t="str">
            <v>城市建设基金</v>
          </cell>
          <cell r="C35" t="str">
            <v>建筑面积</v>
          </cell>
          <cell r="D35" t="str">
            <v>m2</v>
          </cell>
          <cell r="E35">
            <v>241586.90000000002</v>
          </cell>
          <cell r="F35">
            <v>0</v>
          </cell>
          <cell r="G35">
            <v>0</v>
          </cell>
          <cell r="I35">
            <v>0</v>
          </cell>
          <cell r="J35">
            <v>0</v>
          </cell>
          <cell r="K35">
            <v>0</v>
          </cell>
          <cell r="L35">
            <v>0</v>
          </cell>
          <cell r="M35">
            <v>0</v>
          </cell>
          <cell r="N35" t="str">
            <v>大亚湾项目无此项费用</v>
          </cell>
          <cell r="O35" t="str">
            <v>建筑面积</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row>
        <row r="36">
          <cell r="A36" t="str">
            <v>02.01.01.04</v>
          </cell>
          <cell r="B36" t="str">
            <v>散装水泥专项资金费</v>
          </cell>
          <cell r="C36" t="str">
            <v>建筑面积</v>
          </cell>
          <cell r="D36" t="str">
            <v>m2</v>
          </cell>
          <cell r="E36">
            <v>241586.90000000002</v>
          </cell>
          <cell r="F36">
            <v>0</v>
          </cell>
          <cell r="G36">
            <v>0</v>
          </cell>
          <cell r="I36">
            <v>0</v>
          </cell>
          <cell r="J36">
            <v>0</v>
          </cell>
          <cell r="K36">
            <v>0</v>
          </cell>
          <cell r="L36">
            <v>0</v>
          </cell>
          <cell r="M36">
            <v>0</v>
          </cell>
          <cell r="N36" t="str">
            <v>大亚湾项目无此项费用</v>
          </cell>
          <cell r="O36" t="str">
            <v>建筑面积</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row>
        <row r="37">
          <cell r="A37" t="str">
            <v>02.01.01.05</v>
          </cell>
          <cell r="B37" t="str">
            <v>新型墙体基金</v>
          </cell>
          <cell r="C37" t="str">
            <v>建筑面积</v>
          </cell>
          <cell r="D37" t="str">
            <v>m2</v>
          </cell>
          <cell r="E37">
            <v>241586.90000000002</v>
          </cell>
          <cell r="F37">
            <v>10.08</v>
          </cell>
          <cell r="G37">
            <v>2435195.952</v>
          </cell>
          <cell r="I37">
            <v>0</v>
          </cell>
          <cell r="J37">
            <v>10.08</v>
          </cell>
          <cell r="K37">
            <v>0</v>
          </cell>
          <cell r="L37">
            <v>2435195.952</v>
          </cell>
          <cell r="M37">
            <v>0</v>
          </cell>
          <cell r="N37" t="str">
            <v>最新规定把散装水泥费并入新型墙体基金，单价从10元调到10.8元。（若后期扣还再抵扣成本）</v>
          </cell>
          <cell r="O37" t="str">
            <v>建筑面积</v>
          </cell>
          <cell r="P37">
            <v>0</v>
          </cell>
          <cell r="Q37">
            <v>268833.59999999998</v>
          </cell>
          <cell r="R37">
            <v>23567.040000000001</v>
          </cell>
          <cell r="S37">
            <v>1010813.5295999998</v>
          </cell>
          <cell r="T37">
            <v>236156.25599999996</v>
          </cell>
          <cell r="U37">
            <v>0</v>
          </cell>
          <cell r="V37">
            <v>0</v>
          </cell>
          <cell r="W37">
            <v>0</v>
          </cell>
          <cell r="X37">
            <v>0</v>
          </cell>
          <cell r="Y37">
            <v>0</v>
          </cell>
          <cell r="Z37">
            <v>0</v>
          </cell>
          <cell r="AA37">
            <v>0</v>
          </cell>
          <cell r="AB37">
            <v>20159.999999999996</v>
          </cell>
          <cell r="AC37">
            <v>0</v>
          </cell>
          <cell r="AD37">
            <v>0</v>
          </cell>
          <cell r="AE37">
            <v>0</v>
          </cell>
          <cell r="AF37">
            <v>0</v>
          </cell>
          <cell r="AG37">
            <v>780913.52639999997</v>
          </cell>
          <cell r="AH37">
            <v>94751.999999999985</v>
          </cell>
          <cell r="AI37">
            <v>0</v>
          </cell>
          <cell r="AJ37">
            <v>0</v>
          </cell>
          <cell r="AK37">
            <v>0</v>
          </cell>
          <cell r="AL37">
            <v>0</v>
          </cell>
          <cell r="AM37">
            <v>0</v>
          </cell>
          <cell r="AN37">
            <v>0</v>
          </cell>
          <cell r="AO37">
            <v>0</v>
          </cell>
          <cell r="AP37">
            <v>0</v>
          </cell>
          <cell r="AQ37">
            <v>0</v>
          </cell>
          <cell r="AR37">
            <v>2435195.9519999996</v>
          </cell>
          <cell r="AS37">
            <v>0</v>
          </cell>
        </row>
        <row r="38">
          <cell r="A38" t="str">
            <v>02.01.01.06</v>
          </cell>
          <cell r="B38" t="str">
            <v>其他报批报建费</v>
          </cell>
          <cell r="C38" t="str">
            <v>建筑面积</v>
          </cell>
          <cell r="D38" t="str">
            <v>m2</v>
          </cell>
          <cell r="E38">
            <v>241586.90000000002</v>
          </cell>
          <cell r="F38">
            <v>65.1918615077129</v>
          </cell>
          <cell r="G38">
            <v>15749499.726877686</v>
          </cell>
          <cell r="I38">
            <v>-4.7520648920924228E-3</v>
          </cell>
          <cell r="J38">
            <v>65.503136663774754</v>
          </cell>
          <cell r="K38">
            <v>-0.31127515606185341</v>
          </cell>
          <cell r="L38">
            <v>15824699.726877686</v>
          </cell>
          <cell r="M38">
            <v>-75200</v>
          </cell>
          <cell r="P38">
            <v>0</v>
          </cell>
          <cell r="Q38">
            <v>1746968.6548228725</v>
          </cell>
          <cell r="R38">
            <v>153146.33351990537</v>
          </cell>
          <cell r="S38">
            <v>6568596.9018830666</v>
          </cell>
          <cell r="T38">
            <v>1534620.5863862475</v>
          </cell>
          <cell r="U38">
            <v>0</v>
          </cell>
          <cell r="V38">
            <v>0</v>
          </cell>
          <cell r="W38">
            <v>0</v>
          </cell>
          <cell r="X38">
            <v>0</v>
          </cell>
          <cell r="Y38">
            <v>0</v>
          </cell>
          <cell r="Z38">
            <v>0</v>
          </cell>
          <cell r="AA38">
            <v>0</v>
          </cell>
          <cell r="AB38">
            <v>131006.27332754948</v>
          </cell>
          <cell r="AC38">
            <v>0</v>
          </cell>
          <cell r="AD38">
            <v>0</v>
          </cell>
          <cell r="AE38">
            <v>0</v>
          </cell>
          <cell r="AF38">
            <v>0</v>
          </cell>
          <cell r="AG38">
            <v>5074631.4922985584</v>
          </cell>
          <cell r="AH38">
            <v>615729.48463948257</v>
          </cell>
          <cell r="AI38">
            <v>0</v>
          </cell>
          <cell r="AJ38">
            <v>0</v>
          </cell>
          <cell r="AK38">
            <v>0</v>
          </cell>
          <cell r="AL38">
            <v>0</v>
          </cell>
          <cell r="AM38">
            <v>0</v>
          </cell>
          <cell r="AN38">
            <v>0</v>
          </cell>
          <cell r="AO38">
            <v>0</v>
          </cell>
          <cell r="AP38">
            <v>0</v>
          </cell>
          <cell r="AQ38">
            <v>0</v>
          </cell>
          <cell r="AR38">
            <v>15824699.726877682</v>
          </cell>
          <cell r="AS38">
            <v>0</v>
          </cell>
        </row>
        <row r="39">
          <cell r="B39" t="str">
            <v>白蚁防治费</v>
          </cell>
          <cell r="C39" t="str">
            <v>建筑面积</v>
          </cell>
          <cell r="D39" t="str">
            <v>m2</v>
          </cell>
          <cell r="E39">
            <v>241586.90000000002</v>
          </cell>
          <cell r="F39">
            <v>8.6999999999999993</v>
          </cell>
          <cell r="G39">
            <v>2101806.0300000003</v>
          </cell>
          <cell r="I39">
            <v>0</v>
          </cell>
          <cell r="J39">
            <v>8.6999999999999993</v>
          </cell>
          <cell r="K39">
            <v>0</v>
          </cell>
          <cell r="L39">
            <v>2101806.0300000003</v>
          </cell>
          <cell r="M39">
            <v>0</v>
          </cell>
          <cell r="N39" t="str">
            <v>参考大亚湾项目最新行政规费缴费标准：土建：一般建筑物 1.7元/㎡；装饰装修：一般建筑物7元/㎡。该价格为2015年房管局白蚁收费涨价后针对我司拟定的新价格。</v>
          </cell>
          <cell r="O39" t="str">
            <v>建筑面积</v>
          </cell>
          <cell r="P39">
            <v>0</v>
          </cell>
          <cell r="Q39">
            <v>232029.00000000003</v>
          </cell>
          <cell r="R39">
            <v>20340.600000000002</v>
          </cell>
          <cell r="S39">
            <v>872428.34399999992</v>
          </cell>
          <cell r="T39">
            <v>203825.34</v>
          </cell>
          <cell r="U39">
            <v>0</v>
          </cell>
          <cell r="V39">
            <v>0</v>
          </cell>
          <cell r="W39">
            <v>0</v>
          </cell>
          <cell r="X39">
            <v>0</v>
          </cell>
          <cell r="Y39">
            <v>0</v>
          </cell>
          <cell r="Z39">
            <v>0</v>
          </cell>
          <cell r="AA39">
            <v>0</v>
          </cell>
          <cell r="AB39">
            <v>17400</v>
          </cell>
          <cell r="AC39">
            <v>0</v>
          </cell>
          <cell r="AD39">
            <v>0</v>
          </cell>
          <cell r="AE39">
            <v>0</v>
          </cell>
          <cell r="AF39">
            <v>0</v>
          </cell>
          <cell r="AG39">
            <v>674002.74600000004</v>
          </cell>
          <cell r="AH39">
            <v>81780</v>
          </cell>
          <cell r="AI39">
            <v>0</v>
          </cell>
          <cell r="AJ39">
            <v>0</v>
          </cell>
          <cell r="AK39">
            <v>0</v>
          </cell>
          <cell r="AL39">
            <v>0</v>
          </cell>
          <cell r="AM39">
            <v>0</v>
          </cell>
          <cell r="AN39">
            <v>0</v>
          </cell>
          <cell r="AO39">
            <v>0</v>
          </cell>
          <cell r="AP39">
            <v>0</v>
          </cell>
          <cell r="AQ39">
            <v>0</v>
          </cell>
          <cell r="AR39">
            <v>2101806.0300000003</v>
          </cell>
          <cell r="AS39">
            <v>0</v>
          </cell>
        </row>
        <row r="40">
          <cell r="B40" t="str">
            <v>两书工本费</v>
          </cell>
          <cell r="C40" t="str">
            <v>户数</v>
          </cell>
          <cell r="D40" t="str">
            <v>户</v>
          </cell>
          <cell r="E40">
            <v>1380</v>
          </cell>
          <cell r="F40">
            <v>10</v>
          </cell>
          <cell r="G40">
            <v>13800</v>
          </cell>
          <cell r="I40">
            <v>0</v>
          </cell>
          <cell r="J40">
            <v>10</v>
          </cell>
          <cell r="K40">
            <v>0</v>
          </cell>
          <cell r="L40">
            <v>13800</v>
          </cell>
          <cell r="M40">
            <v>0</v>
          </cell>
          <cell r="N40" t="str">
            <v>参考大亚湾项目：10元/套收费</v>
          </cell>
          <cell r="O40" t="str">
            <v>建筑面积</v>
          </cell>
          <cell r="P40">
            <v>0</v>
          </cell>
          <cell r="Q40">
            <v>1523.4518096800778</v>
          </cell>
          <cell r="R40">
            <v>133.55194342077323</v>
          </cell>
          <cell r="S40">
            <v>5728.1742346128858</v>
          </cell>
          <cell r="T40">
            <v>1338.2727291918559</v>
          </cell>
          <cell r="U40">
            <v>0</v>
          </cell>
          <cell r="V40">
            <v>0</v>
          </cell>
          <cell r="W40">
            <v>0</v>
          </cell>
          <cell r="X40">
            <v>0</v>
          </cell>
          <cell r="Y40">
            <v>0</v>
          </cell>
          <cell r="Z40">
            <v>0</v>
          </cell>
          <cell r="AA40">
            <v>0</v>
          </cell>
          <cell r="AB40">
            <v>114.24460515036203</v>
          </cell>
          <cell r="AC40">
            <v>0</v>
          </cell>
          <cell r="AD40">
            <v>0</v>
          </cell>
          <cell r="AE40">
            <v>0</v>
          </cell>
          <cell r="AF40">
            <v>0</v>
          </cell>
          <cell r="AG40">
            <v>4425.3550337373417</v>
          </cell>
          <cell r="AH40">
            <v>536.94964420670158</v>
          </cell>
          <cell r="AI40">
            <v>0</v>
          </cell>
          <cell r="AJ40">
            <v>0</v>
          </cell>
          <cell r="AK40">
            <v>0</v>
          </cell>
          <cell r="AL40">
            <v>0</v>
          </cell>
          <cell r="AM40">
            <v>0</v>
          </cell>
          <cell r="AN40">
            <v>0</v>
          </cell>
          <cell r="AO40">
            <v>0</v>
          </cell>
          <cell r="AP40">
            <v>0</v>
          </cell>
          <cell r="AQ40">
            <v>0</v>
          </cell>
          <cell r="AR40">
            <v>13799.999999999996</v>
          </cell>
          <cell r="AS40">
            <v>0</v>
          </cell>
        </row>
        <row r="41">
          <cell r="B41" t="str">
            <v>图纸审查费</v>
          </cell>
          <cell r="C41" t="str">
            <v>建筑面积</v>
          </cell>
          <cell r="D41" t="str">
            <v>m2</v>
          </cell>
          <cell r="E41">
            <v>241586.90000000002</v>
          </cell>
          <cell r="F41">
            <v>2.1</v>
          </cell>
          <cell r="G41">
            <v>507332.49000000005</v>
          </cell>
          <cell r="I41">
            <v>0</v>
          </cell>
          <cell r="J41">
            <v>2.1</v>
          </cell>
          <cell r="K41">
            <v>0</v>
          </cell>
          <cell r="L41">
            <v>507332.49000000005</v>
          </cell>
          <cell r="M41">
            <v>0</v>
          </cell>
          <cell r="N41" t="str">
            <v>，防雷审图费0.1/m2</v>
          </cell>
          <cell r="O41" t="str">
            <v>建筑面积</v>
          </cell>
          <cell r="P41">
            <v>0</v>
          </cell>
          <cell r="Q41">
            <v>56007</v>
          </cell>
          <cell r="R41">
            <v>4909.8</v>
          </cell>
          <cell r="S41">
            <v>210586.15199999997</v>
          </cell>
          <cell r="T41">
            <v>49199.22</v>
          </cell>
          <cell r="U41">
            <v>0</v>
          </cell>
          <cell r="V41">
            <v>0</v>
          </cell>
          <cell r="W41">
            <v>0</v>
          </cell>
          <cell r="X41">
            <v>0</v>
          </cell>
          <cell r="Y41">
            <v>0</v>
          </cell>
          <cell r="Z41">
            <v>0</v>
          </cell>
          <cell r="AA41">
            <v>0</v>
          </cell>
          <cell r="AB41">
            <v>4200</v>
          </cell>
          <cell r="AC41">
            <v>0</v>
          </cell>
          <cell r="AD41">
            <v>0</v>
          </cell>
          <cell r="AE41">
            <v>0</v>
          </cell>
          <cell r="AF41">
            <v>0</v>
          </cell>
          <cell r="AG41">
            <v>162690.318</v>
          </cell>
          <cell r="AH41">
            <v>19740</v>
          </cell>
          <cell r="AI41">
            <v>0</v>
          </cell>
          <cell r="AJ41">
            <v>0</v>
          </cell>
          <cell r="AK41">
            <v>0</v>
          </cell>
          <cell r="AL41">
            <v>0</v>
          </cell>
          <cell r="AM41">
            <v>0</v>
          </cell>
          <cell r="AN41">
            <v>0</v>
          </cell>
          <cell r="AO41">
            <v>0</v>
          </cell>
          <cell r="AP41">
            <v>0</v>
          </cell>
          <cell r="AQ41">
            <v>0</v>
          </cell>
          <cell r="AR41">
            <v>507332.49</v>
          </cell>
          <cell r="AS41">
            <v>0</v>
          </cell>
        </row>
        <row r="42">
          <cell r="B42" t="str">
            <v>消防审查费</v>
          </cell>
          <cell r="C42" t="str">
            <v>建筑面积</v>
          </cell>
          <cell r="D42" t="str">
            <v>m2</v>
          </cell>
          <cell r="F42">
            <v>1</v>
          </cell>
          <cell r="G42">
            <v>5060</v>
          </cell>
          <cell r="I42">
            <v>0</v>
          </cell>
          <cell r="J42">
            <v>1</v>
          </cell>
          <cell r="K42">
            <v>0</v>
          </cell>
          <cell r="L42">
            <v>5060</v>
          </cell>
          <cell r="M42">
            <v>0</v>
          </cell>
          <cell r="N42" t="str">
            <v>参考大亚湾行政收费标准消防图纸审查1元/m2</v>
          </cell>
          <cell r="O42" t="str">
            <v>建筑面积</v>
          </cell>
          <cell r="P42">
            <v>0</v>
          </cell>
          <cell r="Q42">
            <v>558.59899688269513</v>
          </cell>
          <cell r="R42">
            <v>48.96904592095018</v>
          </cell>
          <cell r="S42">
            <v>2100.3305526913914</v>
          </cell>
          <cell r="T42">
            <v>490.70000070368047</v>
          </cell>
          <cell r="U42">
            <v>0</v>
          </cell>
          <cell r="V42">
            <v>0</v>
          </cell>
          <cell r="W42">
            <v>0</v>
          </cell>
          <cell r="X42">
            <v>0</v>
          </cell>
          <cell r="Y42">
            <v>0</v>
          </cell>
          <cell r="Z42">
            <v>0</v>
          </cell>
          <cell r="AA42">
            <v>0</v>
          </cell>
          <cell r="AB42">
            <v>41.889688555132743</v>
          </cell>
          <cell r="AC42">
            <v>0</v>
          </cell>
          <cell r="AD42">
            <v>0</v>
          </cell>
          <cell r="AE42">
            <v>0</v>
          </cell>
          <cell r="AF42">
            <v>0</v>
          </cell>
          <cell r="AG42">
            <v>1622.6301790370253</v>
          </cell>
          <cell r="AH42">
            <v>196.88153620912391</v>
          </cell>
          <cell r="AI42">
            <v>0</v>
          </cell>
          <cell r="AJ42">
            <v>0</v>
          </cell>
          <cell r="AK42">
            <v>0</v>
          </cell>
          <cell r="AL42">
            <v>0</v>
          </cell>
          <cell r="AM42">
            <v>0</v>
          </cell>
          <cell r="AN42">
            <v>0</v>
          </cell>
          <cell r="AO42">
            <v>0</v>
          </cell>
          <cell r="AP42">
            <v>0</v>
          </cell>
          <cell r="AQ42">
            <v>0</v>
          </cell>
          <cell r="AR42">
            <v>5059.9999999999991</v>
          </cell>
          <cell r="AS42">
            <v>0</v>
          </cell>
        </row>
        <row r="43">
          <cell r="B43" t="str">
            <v>招投标交易服务费</v>
          </cell>
          <cell r="C43" t="str">
            <v>建筑面积</v>
          </cell>
          <cell r="D43" t="str">
            <v>宗</v>
          </cell>
          <cell r="E43">
            <v>1</v>
          </cell>
          <cell r="F43">
            <v>30000</v>
          </cell>
          <cell r="G43">
            <v>30000</v>
          </cell>
          <cell r="I43">
            <v>0</v>
          </cell>
          <cell r="J43">
            <v>30000</v>
          </cell>
          <cell r="K43">
            <v>0</v>
          </cell>
          <cell r="L43">
            <v>30000</v>
          </cell>
          <cell r="M43">
            <v>0</v>
          </cell>
          <cell r="N43" t="str">
            <v>暂按3万元/宗预估</v>
          </cell>
          <cell r="O43" t="str">
            <v>建筑面积</v>
          </cell>
          <cell r="P43">
            <v>0</v>
          </cell>
          <cell r="Q43">
            <v>3311.8517601740823</v>
          </cell>
          <cell r="R43">
            <v>290.33031178428962</v>
          </cell>
          <cell r="S43">
            <v>12452.552683941056</v>
          </cell>
          <cell r="T43">
            <v>2909.2885417214256</v>
          </cell>
          <cell r="U43">
            <v>0</v>
          </cell>
          <cell r="V43">
            <v>0</v>
          </cell>
          <cell r="W43">
            <v>0</v>
          </cell>
          <cell r="X43">
            <v>0</v>
          </cell>
          <cell r="Y43">
            <v>0</v>
          </cell>
          <cell r="Z43">
            <v>0</v>
          </cell>
          <cell r="AA43">
            <v>0</v>
          </cell>
          <cell r="AB43">
            <v>248.35783728339572</v>
          </cell>
          <cell r="AC43">
            <v>0</v>
          </cell>
          <cell r="AD43">
            <v>0</v>
          </cell>
          <cell r="AE43">
            <v>0</v>
          </cell>
          <cell r="AF43">
            <v>0</v>
          </cell>
          <cell r="AG43">
            <v>9620.3370298637874</v>
          </cell>
          <cell r="AH43">
            <v>1167.2818352319598</v>
          </cell>
          <cell r="AI43">
            <v>0</v>
          </cell>
          <cell r="AJ43">
            <v>0</v>
          </cell>
          <cell r="AK43">
            <v>0</v>
          </cell>
          <cell r="AL43">
            <v>0</v>
          </cell>
          <cell r="AM43">
            <v>0</v>
          </cell>
          <cell r="AN43">
            <v>0</v>
          </cell>
          <cell r="AO43">
            <v>0</v>
          </cell>
          <cell r="AP43">
            <v>0</v>
          </cell>
          <cell r="AQ43">
            <v>0</v>
          </cell>
          <cell r="AR43">
            <v>29999.999999999993</v>
          </cell>
          <cell r="AS43">
            <v>0</v>
          </cell>
        </row>
        <row r="44">
          <cell r="B44" t="str">
            <v>地质勘察审查费</v>
          </cell>
          <cell r="C44" t="str">
            <v>测量长度</v>
          </cell>
          <cell r="D44" t="str">
            <v>m</v>
          </cell>
          <cell r="E44">
            <v>5060</v>
          </cell>
          <cell r="F44">
            <v>80</v>
          </cell>
          <cell r="G44">
            <v>404800</v>
          </cell>
          <cell r="I44">
            <v>0</v>
          </cell>
          <cell r="J44">
            <v>80</v>
          </cell>
          <cell r="K44">
            <v>0</v>
          </cell>
          <cell r="L44">
            <v>404800</v>
          </cell>
          <cell r="M44">
            <v>0</v>
          </cell>
          <cell r="N44" t="str">
            <v>审查费用按已签合同初勘4个孔20m/孔，详勘166个孔，平均按30m/孔，10元/m</v>
          </cell>
          <cell r="O44" t="str">
            <v>建筑面积</v>
          </cell>
          <cell r="P44">
            <v>0</v>
          </cell>
          <cell r="Q44">
            <v>44687.919750615612</v>
          </cell>
          <cell r="R44">
            <v>3917.5236736760144</v>
          </cell>
          <cell r="S44">
            <v>168026.44421531132</v>
          </cell>
          <cell r="T44">
            <v>39256.000056294441</v>
          </cell>
          <cell r="U44">
            <v>0</v>
          </cell>
          <cell r="V44">
            <v>0</v>
          </cell>
          <cell r="W44">
            <v>0</v>
          </cell>
          <cell r="X44">
            <v>0</v>
          </cell>
          <cell r="Y44">
            <v>0</v>
          </cell>
          <cell r="Z44">
            <v>0</v>
          </cell>
          <cell r="AA44">
            <v>0</v>
          </cell>
          <cell r="AB44">
            <v>3351.1750844106195</v>
          </cell>
          <cell r="AC44">
            <v>0</v>
          </cell>
          <cell r="AD44">
            <v>0</v>
          </cell>
          <cell r="AE44">
            <v>0</v>
          </cell>
          <cell r="AF44">
            <v>0</v>
          </cell>
          <cell r="AG44">
            <v>129810.41432296204</v>
          </cell>
          <cell r="AH44">
            <v>15750.522896729912</v>
          </cell>
          <cell r="AI44">
            <v>0</v>
          </cell>
          <cell r="AJ44">
            <v>0</v>
          </cell>
          <cell r="AK44">
            <v>0</v>
          </cell>
          <cell r="AL44">
            <v>0</v>
          </cell>
          <cell r="AM44">
            <v>0</v>
          </cell>
          <cell r="AN44">
            <v>0</v>
          </cell>
          <cell r="AO44">
            <v>0</v>
          </cell>
          <cell r="AP44">
            <v>0</v>
          </cell>
          <cell r="AQ44">
            <v>0</v>
          </cell>
          <cell r="AR44">
            <v>404799.99999999994</v>
          </cell>
          <cell r="AS44">
            <v>0</v>
          </cell>
        </row>
        <row r="45">
          <cell r="B45" t="str">
            <v>项目环境影响评测费</v>
          </cell>
          <cell r="C45" t="str">
            <v>建筑面积</v>
          </cell>
          <cell r="D45" t="str">
            <v>m2</v>
          </cell>
          <cell r="E45">
            <v>241586.90000000002</v>
          </cell>
          <cell r="F45">
            <v>0.4</v>
          </cell>
          <cell r="G45">
            <v>96634.760000000009</v>
          </cell>
          <cell r="I45">
            <v>0</v>
          </cell>
          <cell r="J45">
            <v>0.4</v>
          </cell>
          <cell r="K45">
            <v>0</v>
          </cell>
          <cell r="L45">
            <v>96634.760000000009</v>
          </cell>
          <cell r="M45">
            <v>0</v>
          </cell>
          <cell r="N45" t="str">
            <v>参考大亚湾行政规费缴费标准1元/m2</v>
          </cell>
          <cell r="O45" t="str">
            <v>建筑面积</v>
          </cell>
          <cell r="P45">
            <v>0</v>
          </cell>
          <cell r="Q45">
            <v>10668</v>
          </cell>
          <cell r="R45">
            <v>935.2</v>
          </cell>
          <cell r="S45">
            <v>40111.647999999994</v>
          </cell>
          <cell r="T45">
            <v>9371.2800000000007</v>
          </cell>
          <cell r="U45">
            <v>0</v>
          </cell>
          <cell r="V45">
            <v>0</v>
          </cell>
          <cell r="W45">
            <v>0</v>
          </cell>
          <cell r="X45">
            <v>0</v>
          </cell>
          <cell r="Y45">
            <v>0</v>
          </cell>
          <cell r="Z45">
            <v>0</v>
          </cell>
          <cell r="AA45">
            <v>0</v>
          </cell>
          <cell r="AB45">
            <v>800</v>
          </cell>
          <cell r="AC45">
            <v>0</v>
          </cell>
          <cell r="AD45">
            <v>0</v>
          </cell>
          <cell r="AE45">
            <v>0</v>
          </cell>
          <cell r="AF45">
            <v>0</v>
          </cell>
          <cell r="AG45">
            <v>30988.631999999998</v>
          </cell>
          <cell r="AH45">
            <v>3760</v>
          </cell>
          <cell r="AI45">
            <v>0</v>
          </cell>
          <cell r="AJ45">
            <v>0</v>
          </cell>
          <cell r="AK45">
            <v>0</v>
          </cell>
          <cell r="AL45">
            <v>0</v>
          </cell>
          <cell r="AM45">
            <v>0</v>
          </cell>
          <cell r="AN45">
            <v>0</v>
          </cell>
          <cell r="AO45">
            <v>0</v>
          </cell>
          <cell r="AP45">
            <v>0</v>
          </cell>
          <cell r="AQ45">
            <v>0</v>
          </cell>
          <cell r="AR45">
            <v>96634.76</v>
          </cell>
          <cell r="AS45">
            <v>0</v>
          </cell>
        </row>
        <row r="46">
          <cell r="B46" t="str">
            <v>人防审查费</v>
          </cell>
          <cell r="C46" t="str">
            <v>人防面积</v>
          </cell>
          <cell r="D46" t="str">
            <v>m2</v>
          </cell>
          <cell r="E46">
            <v>9400</v>
          </cell>
          <cell r="F46">
            <v>8</v>
          </cell>
          <cell r="I46">
            <v>0</v>
          </cell>
          <cell r="J46">
            <v>8</v>
          </cell>
          <cell r="K46">
            <v>0</v>
          </cell>
          <cell r="L46">
            <v>75200</v>
          </cell>
          <cell r="M46">
            <v>-75200</v>
          </cell>
          <cell r="N46" t="str">
            <v>无此项费用</v>
          </cell>
          <cell r="O46" t="str">
            <v>建筑面积</v>
          </cell>
          <cell r="P46">
            <v>0</v>
          </cell>
          <cell r="Q46">
            <v>8301.7084121696989</v>
          </cell>
          <cell r="R46">
            <v>727.76131487261932</v>
          </cell>
          <cell r="S46">
            <v>31214.398727745578</v>
          </cell>
          <cell r="T46">
            <v>7292.6166112483743</v>
          </cell>
          <cell r="U46">
            <v>0</v>
          </cell>
          <cell r="V46">
            <v>0</v>
          </cell>
          <cell r="W46">
            <v>0</v>
          </cell>
          <cell r="X46">
            <v>0</v>
          </cell>
          <cell r="Y46">
            <v>0</v>
          </cell>
          <cell r="Z46">
            <v>0</v>
          </cell>
          <cell r="AA46">
            <v>0</v>
          </cell>
          <cell r="AB46">
            <v>622.55031212371193</v>
          </cell>
          <cell r="AC46">
            <v>0</v>
          </cell>
          <cell r="AD46">
            <v>0</v>
          </cell>
          <cell r="AE46">
            <v>0</v>
          </cell>
          <cell r="AF46">
            <v>0</v>
          </cell>
          <cell r="AG46">
            <v>24114.97815485856</v>
          </cell>
          <cell r="AH46">
            <v>2925.986466981446</v>
          </cell>
          <cell r="AI46">
            <v>0</v>
          </cell>
          <cell r="AJ46">
            <v>0</v>
          </cell>
          <cell r="AK46">
            <v>0</v>
          </cell>
          <cell r="AL46">
            <v>0</v>
          </cell>
          <cell r="AM46">
            <v>0</v>
          </cell>
          <cell r="AN46">
            <v>0</v>
          </cell>
          <cell r="AO46">
            <v>0</v>
          </cell>
          <cell r="AP46">
            <v>0</v>
          </cell>
          <cell r="AQ46">
            <v>0</v>
          </cell>
          <cell r="AR46">
            <v>75199.999999999985</v>
          </cell>
          <cell r="AS46">
            <v>0</v>
          </cell>
        </row>
        <row r="47">
          <cell r="B47" t="str">
            <v>规划执照费</v>
          </cell>
          <cell r="C47" t="str">
            <v>建筑面积</v>
          </cell>
          <cell r="D47" t="str">
            <v>m2</v>
          </cell>
          <cell r="E47">
            <v>241586.90000000002</v>
          </cell>
          <cell r="F47">
            <v>21.824751183105057</v>
          </cell>
          <cell r="G47">
            <v>5272573.9815976834</v>
          </cell>
          <cell r="I47">
            <v>0</v>
          </cell>
          <cell r="J47">
            <v>21.824751183105057</v>
          </cell>
          <cell r="K47">
            <v>0</v>
          </cell>
          <cell r="L47">
            <v>5272573.9815976834</v>
          </cell>
          <cell r="M47">
            <v>0</v>
          </cell>
          <cell r="N47" t="str">
            <v>参考大亚湾项目行政规费缴费标准：建设用地规划许可证按占地面积4元/㎡；建设工程规划许可证费用按建筑面积20元/㎡，</v>
          </cell>
          <cell r="O47" t="str">
            <v>建筑面积</v>
          </cell>
          <cell r="P47">
            <v>0</v>
          </cell>
          <cell r="Q47">
            <v>582066.11405341187</v>
          </cell>
          <cell r="R47">
            <v>51026.268266099622</v>
          </cell>
          <cell r="S47">
            <v>2188566.8428607336</v>
          </cell>
          <cell r="T47">
            <v>511314.63566802186</v>
          </cell>
          <cell r="U47">
            <v>0</v>
          </cell>
          <cell r="V47">
            <v>0</v>
          </cell>
          <cell r="W47">
            <v>0</v>
          </cell>
          <cell r="X47">
            <v>0</v>
          </cell>
          <cell r="Y47">
            <v>0</v>
          </cell>
          <cell r="Z47">
            <v>0</v>
          </cell>
          <cell r="AA47">
            <v>0</v>
          </cell>
          <cell r="AB47">
            <v>43649.502366210108</v>
          </cell>
          <cell r="AC47">
            <v>0</v>
          </cell>
          <cell r="AD47">
            <v>0</v>
          </cell>
          <cell r="AE47">
            <v>0</v>
          </cell>
          <cell r="AF47">
            <v>0</v>
          </cell>
          <cell r="AG47">
            <v>1690797.957262018</v>
          </cell>
          <cell r="AH47">
            <v>205152.66112118753</v>
          </cell>
          <cell r="AI47">
            <v>0</v>
          </cell>
          <cell r="AJ47">
            <v>0</v>
          </cell>
          <cell r="AK47">
            <v>0</v>
          </cell>
          <cell r="AL47">
            <v>0</v>
          </cell>
          <cell r="AM47">
            <v>0</v>
          </cell>
          <cell r="AN47">
            <v>0</v>
          </cell>
          <cell r="AO47">
            <v>0</v>
          </cell>
          <cell r="AP47">
            <v>0</v>
          </cell>
          <cell r="AQ47">
            <v>0</v>
          </cell>
          <cell r="AR47">
            <v>5272573.9815976825</v>
          </cell>
          <cell r="AS47">
            <v>0</v>
          </cell>
        </row>
        <row r="48">
          <cell r="B48" t="str">
            <v>工程质量安全监督费</v>
          </cell>
          <cell r="C48" t="str">
            <v>建筑面积</v>
          </cell>
          <cell r="D48" t="str">
            <v>m2</v>
          </cell>
          <cell r="E48">
            <v>241586.90000000002</v>
          </cell>
          <cell r="G48">
            <v>0</v>
          </cell>
          <cell r="I48">
            <v>0</v>
          </cell>
          <cell r="J48">
            <v>0</v>
          </cell>
          <cell r="K48">
            <v>0</v>
          </cell>
          <cell r="L48">
            <v>0</v>
          </cell>
          <cell r="M48">
            <v>0</v>
          </cell>
          <cell r="N48" t="str">
            <v>无此项费用</v>
          </cell>
          <cell r="O48" t="str">
            <v>建筑面积</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防雷评估分摊检测费</v>
          </cell>
          <cell r="C49" t="str">
            <v>建筑面积</v>
          </cell>
          <cell r="D49" t="str">
            <v>m2</v>
          </cell>
          <cell r="E49">
            <v>241586.90000000002</v>
          </cell>
          <cell r="F49">
            <v>5</v>
          </cell>
          <cell r="G49">
            <v>1207934.5</v>
          </cell>
          <cell r="I49">
            <v>0</v>
          </cell>
          <cell r="J49">
            <v>5</v>
          </cell>
          <cell r="K49">
            <v>0</v>
          </cell>
          <cell r="L49">
            <v>1207934.5</v>
          </cell>
          <cell r="M49">
            <v>0</v>
          </cell>
          <cell r="N49" t="str">
            <v>参考大亚湾项目行政规费缴费标准：防雷检测费按建筑面积3元/㎡，雷击风险评估费按建筑面积2元/㎡。</v>
          </cell>
          <cell r="O49" t="str">
            <v>建筑面积</v>
          </cell>
          <cell r="P49">
            <v>0</v>
          </cell>
          <cell r="Q49">
            <v>133350</v>
          </cell>
          <cell r="R49">
            <v>11690</v>
          </cell>
          <cell r="S49">
            <v>501395.59999999992</v>
          </cell>
          <cell r="T49">
            <v>117140.99999999999</v>
          </cell>
          <cell r="U49">
            <v>0</v>
          </cell>
          <cell r="V49">
            <v>0</v>
          </cell>
          <cell r="W49">
            <v>0</v>
          </cell>
          <cell r="X49">
            <v>0</v>
          </cell>
          <cell r="Y49">
            <v>0</v>
          </cell>
          <cell r="Z49">
            <v>0</v>
          </cell>
          <cell r="AA49">
            <v>0</v>
          </cell>
          <cell r="AB49">
            <v>9999.9999999999982</v>
          </cell>
          <cell r="AC49">
            <v>0</v>
          </cell>
          <cell r="AD49">
            <v>0</v>
          </cell>
          <cell r="AE49">
            <v>0</v>
          </cell>
          <cell r="AF49">
            <v>0</v>
          </cell>
          <cell r="AG49">
            <v>387357.89999999997</v>
          </cell>
          <cell r="AH49">
            <v>46999.999999999993</v>
          </cell>
          <cell r="AI49">
            <v>0</v>
          </cell>
          <cell r="AJ49">
            <v>0</v>
          </cell>
          <cell r="AK49">
            <v>0</v>
          </cell>
          <cell r="AL49">
            <v>0</v>
          </cell>
          <cell r="AM49">
            <v>0</v>
          </cell>
          <cell r="AN49">
            <v>0</v>
          </cell>
          <cell r="AO49">
            <v>0</v>
          </cell>
          <cell r="AP49">
            <v>0</v>
          </cell>
          <cell r="AQ49">
            <v>0</v>
          </cell>
          <cell r="AR49">
            <v>1207934.4999999998</v>
          </cell>
          <cell r="AS49">
            <v>0</v>
          </cell>
        </row>
        <row r="50">
          <cell r="B50" t="str">
            <v>劳保统筹费</v>
          </cell>
          <cell r="C50" t="str">
            <v>建筑面积</v>
          </cell>
          <cell r="D50" t="str">
            <v>m2</v>
          </cell>
          <cell r="E50">
            <v>241586.90000000002</v>
          </cell>
          <cell r="G50">
            <v>0</v>
          </cell>
          <cell r="I50">
            <v>0</v>
          </cell>
          <cell r="J50">
            <v>0</v>
          </cell>
          <cell r="K50">
            <v>0</v>
          </cell>
          <cell r="L50">
            <v>0</v>
          </cell>
          <cell r="M50">
            <v>0</v>
          </cell>
          <cell r="N50" t="str">
            <v>施工单位代缴</v>
          </cell>
          <cell r="O50" t="str">
            <v>建筑面积</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row>
        <row r="51">
          <cell r="B51" t="str">
            <v>超标准排污费（含施工现场噪音管理费及污水排污费）</v>
          </cell>
          <cell r="C51" t="str">
            <v>建筑面积</v>
          </cell>
          <cell r="D51" t="str">
            <v>m2</v>
          </cell>
          <cell r="E51">
            <v>241586.90000000002</v>
          </cell>
          <cell r="G51">
            <v>0</v>
          </cell>
          <cell r="I51">
            <v>0</v>
          </cell>
          <cell r="J51">
            <v>0</v>
          </cell>
          <cell r="K51">
            <v>0</v>
          </cell>
          <cell r="L51">
            <v>0</v>
          </cell>
          <cell r="M51">
            <v>0</v>
          </cell>
          <cell r="N51" t="str">
            <v>按大亚湾行政规费缴费标准：建筑噪声超标排污费按建筑面积3元/㎡</v>
          </cell>
          <cell r="O51" t="str">
            <v>建筑面积</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row>
        <row r="52">
          <cell r="B52" t="str">
            <v>交通影响评估咨询服务</v>
          </cell>
          <cell r="C52" t="str">
            <v>建筑面积</v>
          </cell>
          <cell r="D52" t="str">
            <v>m2</v>
          </cell>
          <cell r="E52">
            <v>241586.90000000002</v>
          </cell>
          <cell r="G52">
            <v>0</v>
          </cell>
          <cell r="I52">
            <v>0</v>
          </cell>
          <cell r="J52">
            <v>0</v>
          </cell>
          <cell r="K52">
            <v>0</v>
          </cell>
          <cell r="L52">
            <v>0</v>
          </cell>
          <cell r="M52">
            <v>0</v>
          </cell>
          <cell r="N52" t="str">
            <v>无此项费用</v>
          </cell>
          <cell r="O52" t="str">
            <v>建筑面积</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row>
        <row r="53">
          <cell r="B53" t="str">
            <v>节能评估技术服务</v>
          </cell>
          <cell r="C53" t="str">
            <v>建筑面积</v>
          </cell>
          <cell r="D53" t="str">
            <v>m2</v>
          </cell>
          <cell r="E53">
            <v>241586.90000000002</v>
          </cell>
          <cell r="G53">
            <v>0</v>
          </cell>
          <cell r="I53">
            <v>0</v>
          </cell>
          <cell r="J53">
            <v>0</v>
          </cell>
          <cell r="K53">
            <v>0</v>
          </cell>
          <cell r="L53">
            <v>0</v>
          </cell>
          <cell r="M53">
            <v>0</v>
          </cell>
          <cell r="N53" t="str">
            <v>绿色建筑咨询服务费用按0.5元/m2预估</v>
          </cell>
          <cell r="O53" t="str">
            <v>建筑面积</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row>
        <row r="54">
          <cell r="B54" t="str">
            <v>水土保持技术咨询服务费</v>
          </cell>
          <cell r="C54" t="str">
            <v>建筑面积</v>
          </cell>
          <cell r="D54" t="str">
            <v>m2</v>
          </cell>
          <cell r="E54">
            <v>241586.90000000002</v>
          </cell>
          <cell r="F54">
            <v>0.6</v>
          </cell>
          <cell r="G54">
            <v>144952.14000000001</v>
          </cell>
          <cell r="I54">
            <v>0</v>
          </cell>
          <cell r="J54">
            <v>0.6</v>
          </cell>
          <cell r="K54">
            <v>0</v>
          </cell>
          <cell r="L54">
            <v>144952.14000000001</v>
          </cell>
          <cell r="M54">
            <v>0</v>
          </cell>
          <cell r="N54" t="str">
            <v>按惠州市水务局水土保持补偿费用标准0.44元/m2</v>
          </cell>
          <cell r="O54" t="str">
            <v>建筑面积</v>
          </cell>
          <cell r="P54">
            <v>0</v>
          </cell>
          <cell r="Q54">
            <v>16002</v>
          </cell>
          <cell r="R54">
            <v>1402.8000000000002</v>
          </cell>
          <cell r="S54">
            <v>60167.471999999994</v>
          </cell>
          <cell r="T54">
            <v>14056.92</v>
          </cell>
          <cell r="U54">
            <v>0</v>
          </cell>
          <cell r="V54">
            <v>0</v>
          </cell>
          <cell r="W54">
            <v>0</v>
          </cell>
          <cell r="X54">
            <v>0</v>
          </cell>
          <cell r="Y54">
            <v>0</v>
          </cell>
          <cell r="Z54">
            <v>0</v>
          </cell>
          <cell r="AA54">
            <v>0</v>
          </cell>
          <cell r="AB54">
            <v>1200</v>
          </cell>
          <cell r="AC54">
            <v>0</v>
          </cell>
          <cell r="AD54">
            <v>0</v>
          </cell>
          <cell r="AE54">
            <v>0</v>
          </cell>
          <cell r="AF54">
            <v>0</v>
          </cell>
          <cell r="AG54">
            <v>46482.947999999997</v>
          </cell>
          <cell r="AH54">
            <v>5640</v>
          </cell>
          <cell r="AI54">
            <v>0</v>
          </cell>
          <cell r="AJ54">
            <v>0</v>
          </cell>
          <cell r="AK54">
            <v>0</v>
          </cell>
          <cell r="AL54">
            <v>0</v>
          </cell>
          <cell r="AM54">
            <v>0</v>
          </cell>
          <cell r="AN54">
            <v>0</v>
          </cell>
          <cell r="AO54">
            <v>0</v>
          </cell>
          <cell r="AP54">
            <v>0</v>
          </cell>
          <cell r="AQ54">
            <v>0</v>
          </cell>
          <cell r="AR54">
            <v>144952.13999999998</v>
          </cell>
          <cell r="AS54">
            <v>0</v>
          </cell>
        </row>
        <row r="55">
          <cell r="B55" t="str">
            <v>地震安全性评价</v>
          </cell>
          <cell r="C55" t="str">
            <v>建筑面积</v>
          </cell>
          <cell r="D55" t="str">
            <v>m2</v>
          </cell>
          <cell r="E55">
            <v>241586.90000000002</v>
          </cell>
          <cell r="G55">
            <v>0</v>
          </cell>
          <cell r="I55">
            <v>0</v>
          </cell>
          <cell r="J55">
            <v>0</v>
          </cell>
          <cell r="K55">
            <v>0</v>
          </cell>
          <cell r="L55">
            <v>0</v>
          </cell>
          <cell r="M55">
            <v>0</v>
          </cell>
          <cell r="N55" t="str">
            <v>无此项费用</v>
          </cell>
          <cell r="O55" t="str">
            <v>建筑面积</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row>
        <row r="56">
          <cell r="B56" t="str">
            <v>其他规费</v>
          </cell>
          <cell r="C56" t="str">
            <v>建筑面积</v>
          </cell>
          <cell r="D56" t="str">
            <v>m2</v>
          </cell>
          <cell r="E56">
            <v>241586.90000000002</v>
          </cell>
          <cell r="F56">
            <v>24.689276716908076</v>
          </cell>
          <cell r="G56">
            <v>5964605.8252800005</v>
          </cell>
          <cell r="I56">
            <v>0</v>
          </cell>
          <cell r="J56">
            <v>24.689276716908076</v>
          </cell>
          <cell r="K56">
            <v>0</v>
          </cell>
          <cell r="L56">
            <v>5964605.8252800005</v>
          </cell>
          <cell r="M56">
            <v>0</v>
          </cell>
          <cell r="N56" t="str">
            <v>1.副食价格调价基金按大亚湾行政规费缴费标准：按建筑面积0.48元/㎡。
2.需缴纳的其他行政规费，按5元/㎡预估。
3.地质灾害危险性评估预估22万元。
4.污水处理装置异地建设费50万元。
5.预估8元/m2的行政罚款等其他不可预见规费                                                       6.预售监督管理服务费预估总货值的0.2%
7、代理代办费1300元/户
8、治安联防费，按建筑面积0.5元/m2进行收费
9、单体方案报建电子报批，按建筑面积0.3元/m2计算</v>
          </cell>
          <cell r="O56" t="str">
            <v>建筑面积</v>
          </cell>
          <cell r="P56">
            <v>0</v>
          </cell>
          <cell r="Q56">
            <v>658463.0100399385</v>
          </cell>
          <cell r="R56">
            <v>57723.528964131088</v>
          </cell>
          <cell r="S56">
            <v>2475818.942608031</v>
          </cell>
          <cell r="T56">
            <v>578425.3127790658</v>
          </cell>
          <cell r="U56">
            <v>0</v>
          </cell>
          <cell r="V56">
            <v>0</v>
          </cell>
          <cell r="W56">
            <v>0</v>
          </cell>
          <cell r="X56">
            <v>0</v>
          </cell>
          <cell r="Y56">
            <v>0</v>
          </cell>
          <cell r="Z56">
            <v>0</v>
          </cell>
          <cell r="AA56">
            <v>0</v>
          </cell>
          <cell r="AB56">
            <v>49378.553433816152</v>
          </cell>
          <cell r="AC56">
            <v>0</v>
          </cell>
          <cell r="AD56">
            <v>0</v>
          </cell>
          <cell r="AE56">
            <v>0</v>
          </cell>
          <cell r="AF56">
            <v>0</v>
          </cell>
          <cell r="AG56">
            <v>1912717.2763160814</v>
          </cell>
          <cell r="AH56">
            <v>232079.20113893592</v>
          </cell>
          <cell r="AI56">
            <v>0</v>
          </cell>
          <cell r="AJ56">
            <v>0</v>
          </cell>
          <cell r="AK56">
            <v>0</v>
          </cell>
          <cell r="AL56">
            <v>0</v>
          </cell>
          <cell r="AM56">
            <v>0</v>
          </cell>
          <cell r="AN56">
            <v>0</v>
          </cell>
          <cell r="AO56">
            <v>0</v>
          </cell>
          <cell r="AP56">
            <v>0</v>
          </cell>
          <cell r="AQ56">
            <v>0</v>
          </cell>
          <cell r="AR56">
            <v>5964605.8252799995</v>
          </cell>
          <cell r="AS56">
            <v>0</v>
          </cell>
        </row>
        <row r="57">
          <cell r="A57" t="str">
            <v>02.01.02</v>
          </cell>
          <cell r="B57" t="str">
            <v>定额外专项检测费</v>
          </cell>
          <cell r="C57" t="str">
            <v>建筑面积</v>
          </cell>
          <cell r="D57" t="str">
            <v>m2</v>
          </cell>
          <cell r="E57">
            <v>241586.90000000002</v>
          </cell>
          <cell r="F57">
            <v>21.944782974573538</v>
          </cell>
          <cell r="G57">
            <v>5301572.0900000008</v>
          </cell>
          <cell r="I57">
            <v>6.0000000000000026E-2</v>
          </cell>
          <cell r="J57">
            <v>20.702625447710886</v>
          </cell>
          <cell r="K57">
            <v>1.2421575268626519</v>
          </cell>
          <cell r="L57">
            <v>5001483.1037735855</v>
          </cell>
          <cell r="M57">
            <v>300088.98622641526</v>
          </cell>
          <cell r="P57">
            <v>0</v>
          </cell>
          <cell r="Q57">
            <v>552139.02069044928</v>
          </cell>
          <cell r="R57">
            <v>48402.738296748052</v>
          </cell>
          <cell r="S57">
            <v>2076041.0615860533</v>
          </cell>
          <cell r="T57">
            <v>485025.24951406015</v>
          </cell>
          <cell r="U57">
            <v>0</v>
          </cell>
          <cell r="V57">
            <v>0</v>
          </cell>
          <cell r="W57">
            <v>0</v>
          </cell>
          <cell r="X57">
            <v>0</v>
          </cell>
          <cell r="Y57">
            <v>0</v>
          </cell>
          <cell r="Z57">
            <v>0</v>
          </cell>
          <cell r="AA57">
            <v>0</v>
          </cell>
          <cell r="AB57">
            <v>41405.25089542177</v>
          </cell>
          <cell r="AC57">
            <v>0</v>
          </cell>
          <cell r="AD57">
            <v>0</v>
          </cell>
          <cell r="AE57">
            <v>0</v>
          </cell>
          <cell r="AF57">
            <v>0</v>
          </cell>
          <cell r="AG57">
            <v>1603865.1035823694</v>
          </cell>
          <cell r="AH57">
            <v>194604.6792084823</v>
          </cell>
          <cell r="AI57">
            <v>0</v>
          </cell>
          <cell r="AJ57">
            <v>0</v>
          </cell>
          <cell r="AK57">
            <v>0</v>
          </cell>
          <cell r="AL57">
            <v>0</v>
          </cell>
          <cell r="AM57">
            <v>0</v>
          </cell>
          <cell r="AN57">
            <v>0</v>
          </cell>
          <cell r="AO57">
            <v>0</v>
          </cell>
          <cell r="AP57">
            <v>0</v>
          </cell>
          <cell r="AQ57">
            <v>0</v>
          </cell>
          <cell r="AR57">
            <v>5001483.1037735846</v>
          </cell>
          <cell r="AS57">
            <v>0</v>
          </cell>
        </row>
        <row r="58">
          <cell r="B58" t="str">
            <v>基础专项检测</v>
          </cell>
          <cell r="C58" t="str">
            <v>检测面积</v>
          </cell>
          <cell r="D58" t="str">
            <v>m2</v>
          </cell>
          <cell r="E58">
            <v>241586.90000000002</v>
          </cell>
          <cell r="F58">
            <v>15</v>
          </cell>
          <cell r="G58">
            <v>3623803.5000000005</v>
          </cell>
          <cell r="I58">
            <v>0.06</v>
          </cell>
          <cell r="J58">
            <v>14.150943396226415</v>
          </cell>
          <cell r="K58">
            <v>0.84905660377358494</v>
          </cell>
          <cell r="L58">
            <v>3418682.5471698116</v>
          </cell>
          <cell r="M58">
            <v>205120.95283018891</v>
          </cell>
          <cell r="N58" t="str">
            <v>参照银滩国际学校项目已签人工挖孔桩检测合同单价低应变350元/根，钻芯360元/m，桩基方案未确定，暂按15元/m2预估。</v>
          </cell>
          <cell r="O58" t="str">
            <v>建筑面积</v>
          </cell>
          <cell r="P58">
            <v>0</v>
          </cell>
          <cell r="Q58">
            <v>377405.66037735849</v>
          </cell>
          <cell r="R58">
            <v>33084.905660377357</v>
          </cell>
          <cell r="S58">
            <v>1419044.1509433961</v>
          </cell>
          <cell r="T58">
            <v>331531.13207547169</v>
          </cell>
          <cell r="U58">
            <v>0</v>
          </cell>
          <cell r="V58">
            <v>0</v>
          </cell>
          <cell r="W58">
            <v>0</v>
          </cell>
          <cell r="X58">
            <v>0</v>
          </cell>
          <cell r="Y58">
            <v>0</v>
          </cell>
          <cell r="Z58">
            <v>0</v>
          </cell>
          <cell r="AA58">
            <v>0</v>
          </cell>
          <cell r="AB58">
            <v>28301.886792452828</v>
          </cell>
          <cell r="AC58">
            <v>0</v>
          </cell>
          <cell r="AD58">
            <v>0</v>
          </cell>
          <cell r="AE58">
            <v>0</v>
          </cell>
          <cell r="AF58">
            <v>0</v>
          </cell>
          <cell r="AG58">
            <v>1096295.9433962263</v>
          </cell>
          <cell r="AH58">
            <v>133018.86792452828</v>
          </cell>
          <cell r="AI58">
            <v>0</v>
          </cell>
          <cell r="AJ58">
            <v>0</v>
          </cell>
          <cell r="AK58">
            <v>0</v>
          </cell>
          <cell r="AL58">
            <v>0</v>
          </cell>
          <cell r="AM58">
            <v>0</v>
          </cell>
          <cell r="AN58">
            <v>0</v>
          </cell>
          <cell r="AO58">
            <v>0</v>
          </cell>
          <cell r="AP58">
            <v>0</v>
          </cell>
          <cell r="AQ58">
            <v>0</v>
          </cell>
          <cell r="AR58">
            <v>3418682.5471698111</v>
          </cell>
          <cell r="AS58">
            <v>0</v>
          </cell>
        </row>
        <row r="59">
          <cell r="B59" t="str">
            <v>竣工质检合同</v>
          </cell>
          <cell r="C59" t="str">
            <v>建筑面积</v>
          </cell>
          <cell r="D59" t="str">
            <v>m2</v>
          </cell>
          <cell r="E59">
            <v>241586.90000000002</v>
          </cell>
          <cell r="F59">
            <v>0</v>
          </cell>
          <cell r="G59">
            <v>0</v>
          </cell>
          <cell r="I59">
            <v>0.06</v>
          </cell>
          <cell r="J59">
            <v>0</v>
          </cell>
          <cell r="K59">
            <v>0</v>
          </cell>
          <cell r="L59">
            <v>0</v>
          </cell>
          <cell r="M59">
            <v>0</v>
          </cell>
          <cell r="N59" t="str">
            <v>无此项费用</v>
          </cell>
          <cell r="O59" t="str">
            <v>建筑面积</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B60" t="str">
            <v>室内环境检测合同</v>
          </cell>
          <cell r="C60" t="str">
            <v>户数</v>
          </cell>
          <cell r="D60" t="str">
            <v>户</v>
          </cell>
          <cell r="E60">
            <v>414</v>
          </cell>
          <cell r="F60">
            <v>680</v>
          </cell>
          <cell r="G60">
            <v>281520</v>
          </cell>
          <cell r="I60">
            <v>0.06</v>
          </cell>
          <cell r="J60">
            <v>641.5094339622641</v>
          </cell>
          <cell r="K60">
            <v>38.490566037735903</v>
          </cell>
          <cell r="L60">
            <v>265584.90566037735</v>
          </cell>
          <cell r="M60">
            <v>15935.09433962265</v>
          </cell>
          <cell r="N60" t="str">
            <v>按21%的抽检率，按680元/个点计算，按1点/户预测。</v>
          </cell>
          <cell r="O60" t="str">
            <v>建筑面积</v>
          </cell>
          <cell r="P60">
            <v>0</v>
          </cell>
          <cell r="Q60">
            <v>29319.261242899611</v>
          </cell>
          <cell r="R60">
            <v>2570.2449488526167</v>
          </cell>
          <cell r="S60">
            <v>110240.33432651214</v>
          </cell>
          <cell r="T60">
            <v>25755.437429730056</v>
          </cell>
          <cell r="U60">
            <v>0</v>
          </cell>
          <cell r="V60">
            <v>0</v>
          </cell>
          <cell r="W60">
            <v>0</v>
          </cell>
          <cell r="X60">
            <v>0</v>
          </cell>
          <cell r="Y60">
            <v>0</v>
          </cell>
          <cell r="Z60">
            <v>0</v>
          </cell>
          <cell r="AA60">
            <v>0</v>
          </cell>
          <cell r="AB60">
            <v>2198.6697594975335</v>
          </cell>
          <cell r="AC60">
            <v>0</v>
          </cell>
          <cell r="AD60">
            <v>0</v>
          </cell>
          <cell r="AE60">
            <v>0</v>
          </cell>
          <cell r="AF60">
            <v>0</v>
          </cell>
          <cell r="AG60">
            <v>85167.210083246959</v>
          </cell>
          <cell r="AH60">
            <v>10333.747869638406</v>
          </cell>
          <cell r="AI60">
            <v>0</v>
          </cell>
          <cell r="AJ60">
            <v>0</v>
          </cell>
          <cell r="AK60">
            <v>0</v>
          </cell>
          <cell r="AL60">
            <v>0</v>
          </cell>
          <cell r="AM60">
            <v>0</v>
          </cell>
          <cell r="AN60">
            <v>0</v>
          </cell>
          <cell r="AO60">
            <v>0</v>
          </cell>
          <cell r="AP60">
            <v>0</v>
          </cell>
          <cell r="AQ60">
            <v>0</v>
          </cell>
          <cell r="AR60">
            <v>265584.90566037735</v>
          </cell>
          <cell r="AS60">
            <v>0</v>
          </cell>
        </row>
        <row r="61">
          <cell r="B61" t="str">
            <v>环保监测费合同</v>
          </cell>
          <cell r="C61" t="str">
            <v>监测项</v>
          </cell>
          <cell r="D61" t="str">
            <v>项</v>
          </cell>
          <cell r="E61">
            <v>1</v>
          </cell>
          <cell r="G61">
            <v>0</v>
          </cell>
          <cell r="I61">
            <v>0.06</v>
          </cell>
          <cell r="J61">
            <v>0</v>
          </cell>
          <cell r="K61">
            <v>0</v>
          </cell>
          <cell r="L61">
            <v>0</v>
          </cell>
          <cell r="M61">
            <v>0</v>
          </cell>
          <cell r="N61" t="str">
            <v>预估12万检测费用。</v>
          </cell>
          <cell r="O61" t="str">
            <v>建筑面积</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row>
        <row r="62">
          <cell r="B62" t="str">
            <v>节能检测</v>
          </cell>
          <cell r="C62" t="str">
            <v>建筑面积</v>
          </cell>
          <cell r="D62" t="str">
            <v>m2</v>
          </cell>
          <cell r="E62">
            <v>241586.90000000002</v>
          </cell>
          <cell r="F62">
            <v>1.5</v>
          </cell>
          <cell r="G62">
            <v>362380.35000000003</v>
          </cell>
          <cell r="I62">
            <v>0.06</v>
          </cell>
          <cell r="J62">
            <v>1.4150943396226414</v>
          </cell>
          <cell r="K62">
            <v>8.4905660377358583E-2</v>
          </cell>
          <cell r="L62">
            <v>341868.25471698114</v>
          </cell>
          <cell r="M62">
            <v>20512.095283018891</v>
          </cell>
          <cell r="N62" t="str">
            <v>暂按1元/m2预估费用。</v>
          </cell>
          <cell r="O62" t="str">
            <v>建筑面积</v>
          </cell>
          <cell r="P62">
            <v>0</v>
          </cell>
          <cell r="Q62">
            <v>37740.566037735851</v>
          </cell>
          <cell r="R62">
            <v>3308.4905660377358</v>
          </cell>
          <cell r="S62">
            <v>141904.41509433961</v>
          </cell>
          <cell r="T62">
            <v>33153.113207547169</v>
          </cell>
          <cell r="U62">
            <v>0</v>
          </cell>
          <cell r="V62">
            <v>0</v>
          </cell>
          <cell r="W62">
            <v>0</v>
          </cell>
          <cell r="X62">
            <v>0</v>
          </cell>
          <cell r="Y62">
            <v>0</v>
          </cell>
          <cell r="Z62">
            <v>0</v>
          </cell>
          <cell r="AA62">
            <v>0</v>
          </cell>
          <cell r="AB62">
            <v>2830.1886792452829</v>
          </cell>
          <cell r="AC62">
            <v>0</v>
          </cell>
          <cell r="AD62">
            <v>0</v>
          </cell>
          <cell r="AE62">
            <v>0</v>
          </cell>
          <cell r="AF62">
            <v>0</v>
          </cell>
          <cell r="AG62">
            <v>109629.59433962264</v>
          </cell>
          <cell r="AH62">
            <v>13301.886792452829</v>
          </cell>
          <cell r="AI62">
            <v>0</v>
          </cell>
          <cell r="AJ62">
            <v>0</v>
          </cell>
          <cell r="AK62">
            <v>0</v>
          </cell>
          <cell r="AL62">
            <v>0</v>
          </cell>
          <cell r="AM62">
            <v>0</v>
          </cell>
          <cell r="AN62">
            <v>0</v>
          </cell>
          <cell r="AO62">
            <v>0</v>
          </cell>
          <cell r="AP62">
            <v>0</v>
          </cell>
          <cell r="AQ62">
            <v>0</v>
          </cell>
          <cell r="AR62">
            <v>341868.25471698109</v>
          </cell>
          <cell r="AS62">
            <v>0</v>
          </cell>
        </row>
        <row r="63">
          <cell r="B63" t="str">
            <v>消防检测</v>
          </cell>
          <cell r="C63" t="str">
            <v>建筑面积</v>
          </cell>
          <cell r="D63" t="str">
            <v>m2</v>
          </cell>
          <cell r="E63">
            <v>241586.90000000002</v>
          </cell>
          <cell r="G63">
            <v>0</v>
          </cell>
          <cell r="I63">
            <v>0.06</v>
          </cell>
          <cell r="J63">
            <v>0</v>
          </cell>
          <cell r="K63">
            <v>0</v>
          </cell>
          <cell r="L63">
            <v>0</v>
          </cell>
          <cell r="M63">
            <v>0</v>
          </cell>
          <cell r="N63" t="str">
            <v>无此项费用</v>
          </cell>
          <cell r="O63" t="str">
            <v>建筑面积</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row>
        <row r="64">
          <cell r="B64" t="str">
            <v>铝合金门窗五性检测</v>
          </cell>
          <cell r="C64" t="str">
            <v>建筑面积</v>
          </cell>
          <cell r="D64" t="str">
            <v>m2</v>
          </cell>
          <cell r="E64">
            <v>241586.90000000002</v>
          </cell>
          <cell r="G64">
            <v>0</v>
          </cell>
          <cell r="I64">
            <v>0.06</v>
          </cell>
          <cell r="J64">
            <v>0</v>
          </cell>
          <cell r="K64">
            <v>0</v>
          </cell>
          <cell r="L64">
            <v>0</v>
          </cell>
          <cell r="M64">
            <v>0</v>
          </cell>
          <cell r="N64" t="str">
            <v>无此项费用</v>
          </cell>
          <cell r="O64" t="str">
            <v>建筑面积</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row>
        <row r="65">
          <cell r="B65" t="str">
            <v>土壤氡浓度</v>
          </cell>
          <cell r="C65" t="str">
            <v>占地面积</v>
          </cell>
          <cell r="D65" t="str">
            <v>m2</v>
          </cell>
          <cell r="E65">
            <v>1102.0899999999999</v>
          </cell>
          <cell r="F65">
            <v>60</v>
          </cell>
          <cell r="G65">
            <v>66125.399999999994</v>
          </cell>
          <cell r="I65">
            <v>0.06</v>
          </cell>
          <cell r="J65">
            <v>56.60377358490566</v>
          </cell>
          <cell r="K65">
            <v>3.3962264150943398</v>
          </cell>
          <cell r="L65">
            <v>62382.452830188675</v>
          </cell>
          <cell r="M65">
            <v>3742.9471698113193</v>
          </cell>
          <cell r="N65" t="str">
            <v>按占地面积1%设点约1600点，单价为70元/点</v>
          </cell>
          <cell r="O65" t="str">
            <v>建筑面积</v>
          </cell>
          <cell r="P65">
            <v>0</v>
          </cell>
          <cell r="Q65">
            <v>6886.7145403212335</v>
          </cell>
          <cell r="R65">
            <v>603.71723266858055</v>
          </cell>
          <cell r="S65">
            <v>25894.026014046409</v>
          </cell>
          <cell r="T65">
            <v>6049.6185074448413</v>
          </cell>
          <cell r="U65">
            <v>0</v>
          </cell>
          <cell r="V65">
            <v>0</v>
          </cell>
          <cell r="W65">
            <v>0</v>
          </cell>
          <cell r="X65">
            <v>0</v>
          </cell>
          <cell r="Y65">
            <v>0</v>
          </cell>
          <cell r="Z65">
            <v>0</v>
          </cell>
          <cell r="AA65">
            <v>0</v>
          </cell>
          <cell r="AB65">
            <v>516.43903564463687</v>
          </cell>
          <cell r="AC65">
            <v>0</v>
          </cell>
          <cell r="AD65">
            <v>0</v>
          </cell>
          <cell r="AE65">
            <v>0</v>
          </cell>
          <cell r="AF65">
            <v>0</v>
          </cell>
          <cell r="AG65">
            <v>20004.67403253317</v>
          </cell>
          <cell r="AH65">
            <v>2427.2634675297936</v>
          </cell>
          <cell r="AI65">
            <v>0</v>
          </cell>
          <cell r="AJ65">
            <v>0</v>
          </cell>
          <cell r="AK65">
            <v>0</v>
          </cell>
          <cell r="AL65">
            <v>0</v>
          </cell>
          <cell r="AM65">
            <v>0</v>
          </cell>
          <cell r="AN65">
            <v>0</v>
          </cell>
          <cell r="AO65">
            <v>0</v>
          </cell>
          <cell r="AP65">
            <v>0</v>
          </cell>
          <cell r="AQ65">
            <v>0</v>
          </cell>
          <cell r="AR65">
            <v>62382.452830188675</v>
          </cell>
          <cell r="AS65">
            <v>0</v>
          </cell>
        </row>
        <row r="66">
          <cell r="B66" t="str">
            <v>生活给水水质检测费</v>
          </cell>
          <cell r="C66" t="str">
            <v>检测项</v>
          </cell>
          <cell r="D66" t="str">
            <v>项</v>
          </cell>
          <cell r="E66">
            <v>1</v>
          </cell>
          <cell r="G66">
            <v>0</v>
          </cell>
          <cell r="I66">
            <v>0.06</v>
          </cell>
          <cell r="J66">
            <v>0</v>
          </cell>
          <cell r="K66">
            <v>0</v>
          </cell>
          <cell r="L66">
            <v>0</v>
          </cell>
          <cell r="M66">
            <v>0</v>
          </cell>
          <cell r="N66" t="str">
            <v>预估12万检测费用。</v>
          </cell>
          <cell r="O66" t="str">
            <v>建筑面积</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row>
        <row r="67">
          <cell r="B67" t="str">
            <v>其他竣工质检</v>
          </cell>
          <cell r="C67" t="str">
            <v>检测项</v>
          </cell>
          <cell r="D67" t="str">
            <v>项</v>
          </cell>
          <cell r="E67">
            <v>241935.71</v>
          </cell>
          <cell r="F67">
            <v>4</v>
          </cell>
          <cell r="G67">
            <v>967742.84</v>
          </cell>
          <cell r="I67">
            <v>0.06</v>
          </cell>
          <cell r="J67">
            <v>3.773584905660377</v>
          </cell>
          <cell r="K67">
            <v>0.22641509433962304</v>
          </cell>
          <cell r="L67">
            <v>912964.94339622627</v>
          </cell>
          <cell r="M67">
            <v>54777.896603773697</v>
          </cell>
          <cell r="N67" t="str">
            <v>暂按建筑面积4元/m2预留</v>
          </cell>
          <cell r="O67" t="str">
            <v>建筑面积</v>
          </cell>
          <cell r="P67">
            <v>0</v>
          </cell>
          <cell r="Q67">
            <v>100786.8184921341</v>
          </cell>
          <cell r="R67">
            <v>8835.3798888117562</v>
          </cell>
          <cell r="S67">
            <v>378958.13520775904</v>
          </cell>
          <cell r="T67">
            <v>88535.948293866371</v>
          </cell>
          <cell r="U67">
            <v>0</v>
          </cell>
          <cell r="V67">
            <v>0</v>
          </cell>
          <cell r="W67">
            <v>0</v>
          </cell>
          <cell r="X67">
            <v>0</v>
          </cell>
          <cell r="Y67">
            <v>0</v>
          </cell>
          <cell r="Z67">
            <v>0</v>
          </cell>
          <cell r="AA67">
            <v>0</v>
          </cell>
          <cell r="AB67">
            <v>7558.066628581485</v>
          </cell>
          <cell r="AC67">
            <v>0</v>
          </cell>
          <cell r="AD67">
            <v>0</v>
          </cell>
          <cell r="AE67">
            <v>0</v>
          </cell>
          <cell r="AF67">
            <v>0</v>
          </cell>
          <cell r="AG67">
            <v>292767.68173074041</v>
          </cell>
          <cell r="AH67">
            <v>35522.913154332979</v>
          </cell>
          <cell r="AI67">
            <v>0</v>
          </cell>
          <cell r="AJ67">
            <v>0</v>
          </cell>
          <cell r="AK67">
            <v>0</v>
          </cell>
          <cell r="AL67">
            <v>0</v>
          </cell>
          <cell r="AM67">
            <v>0</v>
          </cell>
          <cell r="AN67">
            <v>0</v>
          </cell>
          <cell r="AO67">
            <v>0</v>
          </cell>
          <cell r="AP67">
            <v>0</v>
          </cell>
          <cell r="AQ67">
            <v>0</v>
          </cell>
          <cell r="AR67">
            <v>912964.94339622615</v>
          </cell>
          <cell r="AS67">
            <v>0</v>
          </cell>
        </row>
        <row r="68">
          <cell r="A68" t="str">
            <v>02.01.03</v>
          </cell>
          <cell r="B68" t="str">
            <v>增容配套费</v>
          </cell>
          <cell r="C68" t="str">
            <v>建筑面积</v>
          </cell>
          <cell r="D68" t="str">
            <v>m2</v>
          </cell>
          <cell r="E68">
            <v>241586.90000000002</v>
          </cell>
          <cell r="F68">
            <v>0</v>
          </cell>
          <cell r="G68">
            <v>0</v>
          </cell>
          <cell r="I68">
            <v>0</v>
          </cell>
          <cell r="J68">
            <v>0</v>
          </cell>
          <cell r="K68">
            <v>0</v>
          </cell>
          <cell r="L68">
            <v>0</v>
          </cell>
          <cell r="M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水增容</v>
          </cell>
          <cell r="C69" t="str">
            <v>建筑面积</v>
          </cell>
          <cell r="D69" t="str">
            <v>m2</v>
          </cell>
          <cell r="G69">
            <v>0</v>
          </cell>
          <cell r="I69">
            <v>0</v>
          </cell>
          <cell r="J69">
            <v>0</v>
          </cell>
          <cell r="K69">
            <v>0</v>
          </cell>
          <cell r="L69">
            <v>0</v>
          </cell>
          <cell r="M69">
            <v>0</v>
          </cell>
          <cell r="O69" t="str">
            <v>建筑面积</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row>
        <row r="70">
          <cell r="B70" t="str">
            <v>电增容</v>
          </cell>
          <cell r="C70" t="str">
            <v>建筑面积</v>
          </cell>
          <cell r="D70" t="str">
            <v>m2</v>
          </cell>
          <cell r="G70">
            <v>0</v>
          </cell>
          <cell r="I70">
            <v>0</v>
          </cell>
          <cell r="J70">
            <v>0</v>
          </cell>
          <cell r="K70">
            <v>0</v>
          </cell>
          <cell r="L70">
            <v>0</v>
          </cell>
          <cell r="M70">
            <v>0</v>
          </cell>
          <cell r="O70" t="str">
            <v>建筑面积</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row>
        <row r="71">
          <cell r="B71" t="str">
            <v>燃气增容</v>
          </cell>
          <cell r="C71" t="str">
            <v>建筑面积</v>
          </cell>
          <cell r="D71" t="str">
            <v>m2</v>
          </cell>
          <cell r="G71">
            <v>0</v>
          </cell>
          <cell r="I71">
            <v>0</v>
          </cell>
          <cell r="J71">
            <v>0</v>
          </cell>
          <cell r="K71">
            <v>0</v>
          </cell>
          <cell r="L71">
            <v>0</v>
          </cell>
          <cell r="M71">
            <v>0</v>
          </cell>
          <cell r="O71" t="str">
            <v>建筑面积</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row>
        <row r="72">
          <cell r="A72" t="str">
            <v>02.02</v>
          </cell>
          <cell r="B72" t="str">
            <v>前期工程费</v>
          </cell>
          <cell r="C72" t="str">
            <v>建筑面积</v>
          </cell>
          <cell r="D72" t="str">
            <v>m2</v>
          </cell>
          <cell r="E72">
            <v>241586.90000000002</v>
          </cell>
          <cell r="F72">
            <v>207.89486875005386</v>
          </cell>
          <cell r="G72">
            <v>50224676.86723239</v>
          </cell>
          <cell r="I72">
            <v>9.1032969605889164E-2</v>
          </cell>
          <cell r="J72">
            <v>190.54865851134741</v>
          </cell>
          <cell r="K72">
            <v>17.346210238706448</v>
          </cell>
          <cell r="L72">
            <v>46034059.70891504</v>
          </cell>
          <cell r="M72">
            <v>4190617.1583173499</v>
          </cell>
          <cell r="P72">
            <v>0</v>
          </cell>
          <cell r="Q72">
            <v>11458982.909959313</v>
          </cell>
          <cell r="R72">
            <v>1004540.7590358033</v>
          </cell>
          <cell r="S72">
            <v>20238131.684838213</v>
          </cell>
          <cell r="T72">
            <v>4728232.5247641467</v>
          </cell>
          <cell r="U72">
            <v>0</v>
          </cell>
          <cell r="V72">
            <v>0</v>
          </cell>
          <cell r="W72">
            <v>0</v>
          </cell>
          <cell r="X72">
            <v>0</v>
          </cell>
          <cell r="Y72">
            <v>0</v>
          </cell>
          <cell r="Z72">
            <v>0</v>
          </cell>
          <cell r="AA72">
            <v>0</v>
          </cell>
          <cell r="AB72">
            <v>616167.77928338142</v>
          </cell>
          <cell r="AC72">
            <v>0</v>
          </cell>
          <cell r="AD72">
            <v>0</v>
          </cell>
          <cell r="AE72">
            <v>0</v>
          </cell>
          <cell r="AF72">
            <v>0</v>
          </cell>
          <cell r="AG72">
            <v>7123656.4924917733</v>
          </cell>
          <cell r="AH72">
            <v>864347.5585424056</v>
          </cell>
          <cell r="AI72">
            <v>0</v>
          </cell>
          <cell r="AJ72">
            <v>0</v>
          </cell>
          <cell r="AK72">
            <v>0</v>
          </cell>
          <cell r="AL72">
            <v>0</v>
          </cell>
          <cell r="AM72">
            <v>0</v>
          </cell>
          <cell r="AN72">
            <v>0</v>
          </cell>
          <cell r="AO72">
            <v>0</v>
          </cell>
          <cell r="AP72">
            <v>0</v>
          </cell>
          <cell r="AQ72">
            <v>0</v>
          </cell>
          <cell r="AR72">
            <v>46034059.70891504</v>
          </cell>
          <cell r="AS72">
            <v>0</v>
          </cell>
        </row>
        <row r="73">
          <cell r="A73" t="str">
            <v>02.02.01</v>
          </cell>
          <cell r="B73" t="str">
            <v>三通工程费</v>
          </cell>
          <cell r="C73" t="str">
            <v>建筑面积</v>
          </cell>
          <cell r="D73" t="str">
            <v>m2</v>
          </cell>
          <cell r="E73">
            <v>241586.90000000002</v>
          </cell>
          <cell r="F73">
            <v>8.2524100742651481</v>
          </cell>
          <cell r="G73">
            <v>1993674.167370487</v>
          </cell>
          <cell r="H73">
            <v>0</v>
          </cell>
          <cell r="I73">
            <v>0.10999999999999992</v>
          </cell>
          <cell r="J73">
            <v>7.4346036705091425</v>
          </cell>
          <cell r="K73">
            <v>0.81780640375600555</v>
          </cell>
          <cell r="L73">
            <v>1796102.8534869254</v>
          </cell>
          <cell r="M73">
            <v>197571.31388356164</v>
          </cell>
          <cell r="P73">
            <v>0</v>
          </cell>
          <cell r="Q73">
            <v>198280.87989247884</v>
          </cell>
          <cell r="R73">
            <v>17382.103381650377</v>
          </cell>
          <cell r="S73">
            <v>745535.51362742682</v>
          </cell>
          <cell r="T73">
            <v>174179.38171342231</v>
          </cell>
          <cell r="U73">
            <v>0</v>
          </cell>
          <cell r="V73">
            <v>0</v>
          </cell>
          <cell r="W73">
            <v>0</v>
          </cell>
          <cell r="X73">
            <v>0</v>
          </cell>
          <cell r="Y73">
            <v>0</v>
          </cell>
          <cell r="Z73">
            <v>0</v>
          </cell>
          <cell r="AA73">
            <v>0</v>
          </cell>
          <cell r="AB73">
            <v>14869.207341018284</v>
          </cell>
          <cell r="AC73">
            <v>0</v>
          </cell>
          <cell r="AD73">
            <v>0</v>
          </cell>
          <cell r="AE73">
            <v>0</v>
          </cell>
          <cell r="AF73">
            <v>0</v>
          </cell>
          <cell r="AG73">
            <v>575970.49302814261</v>
          </cell>
          <cell r="AH73">
            <v>69885.274502785949</v>
          </cell>
          <cell r="AI73">
            <v>0</v>
          </cell>
          <cell r="AJ73">
            <v>0</v>
          </cell>
          <cell r="AK73">
            <v>0</v>
          </cell>
          <cell r="AL73">
            <v>0</v>
          </cell>
          <cell r="AM73">
            <v>0</v>
          </cell>
          <cell r="AN73">
            <v>0</v>
          </cell>
          <cell r="AO73">
            <v>0</v>
          </cell>
          <cell r="AP73">
            <v>0</v>
          </cell>
          <cell r="AQ73">
            <v>0</v>
          </cell>
          <cell r="AR73">
            <v>1796102.8534869254</v>
          </cell>
          <cell r="AS73">
            <v>0</v>
          </cell>
        </row>
        <row r="74">
          <cell r="B74" t="str">
            <v>临时施工道路费</v>
          </cell>
          <cell r="C74" t="str">
            <v>道路面积</v>
          </cell>
          <cell r="D74" t="str">
            <v>m2</v>
          </cell>
          <cell r="E74">
            <v>3230.6950000000002</v>
          </cell>
          <cell r="F74">
            <v>180</v>
          </cell>
          <cell r="G74">
            <v>581525.1</v>
          </cell>
          <cell r="H74">
            <v>0</v>
          </cell>
          <cell r="I74">
            <v>0.10999999999999999</v>
          </cell>
          <cell r="J74">
            <v>162.16216216216219</v>
          </cell>
          <cell r="K74">
            <v>17.83783783783781</v>
          </cell>
          <cell r="L74">
            <v>523896.48648648662</v>
          </cell>
          <cell r="M74">
            <v>57628.613513513352</v>
          </cell>
          <cell r="N74" t="str">
            <v>做法：150mm厚石渣、6%水稳、300mm厚C25，单价按180/m2考虑。考虑后期不确定因素，暂估12000m2</v>
          </cell>
          <cell r="O74" t="str">
            <v>建筑面积</v>
          </cell>
          <cell r="P74">
            <v>0</v>
          </cell>
          <cell r="Q74">
            <v>57835.583363976264</v>
          </cell>
          <cell r="R74">
            <v>5070.1010088105177</v>
          </cell>
          <cell r="S74">
            <v>217461.61996348627</v>
          </cell>
          <cell r="T74">
            <v>50805.534839441643</v>
          </cell>
          <cell r="U74">
            <v>0</v>
          </cell>
          <cell r="V74">
            <v>0</v>
          </cell>
          <cell r="W74">
            <v>0</v>
          </cell>
          <cell r="X74">
            <v>0</v>
          </cell>
          <cell r="Y74">
            <v>0</v>
          </cell>
          <cell r="Z74">
            <v>0</v>
          </cell>
          <cell r="AA74">
            <v>0</v>
          </cell>
          <cell r="AB74">
            <v>4337.1266114717855</v>
          </cell>
          <cell r="AC74">
            <v>0</v>
          </cell>
          <cell r="AD74">
            <v>0</v>
          </cell>
          <cell r="AE74">
            <v>0</v>
          </cell>
          <cell r="AF74">
            <v>0</v>
          </cell>
          <cell r="AG74">
            <v>168002.02562538267</v>
          </cell>
          <cell r="AH74">
            <v>20384.495073917391</v>
          </cell>
          <cell r="AI74">
            <v>0</v>
          </cell>
          <cell r="AJ74">
            <v>0</v>
          </cell>
          <cell r="AK74">
            <v>0</v>
          </cell>
          <cell r="AL74">
            <v>0</v>
          </cell>
          <cell r="AM74">
            <v>0</v>
          </cell>
          <cell r="AN74">
            <v>0</v>
          </cell>
          <cell r="AO74">
            <v>0</v>
          </cell>
          <cell r="AP74">
            <v>0</v>
          </cell>
          <cell r="AQ74">
            <v>0</v>
          </cell>
          <cell r="AR74">
            <v>523896.48648648651</v>
          </cell>
          <cell r="AS74">
            <v>0</v>
          </cell>
        </row>
        <row r="75">
          <cell r="B75" t="str">
            <v>临时施工供排水设施</v>
          </cell>
          <cell r="C75" t="str">
            <v>临水数量</v>
          </cell>
          <cell r="D75" t="str">
            <v>项</v>
          </cell>
          <cell r="E75">
            <v>1</v>
          </cell>
          <cell r="F75">
            <v>1112149.0673704869</v>
          </cell>
          <cell r="G75">
            <v>1112149.0673704869</v>
          </cell>
          <cell r="H75">
            <v>0</v>
          </cell>
          <cell r="I75">
            <v>0.10999999999999999</v>
          </cell>
          <cell r="J75">
            <v>1001936.0967301684</v>
          </cell>
          <cell r="K75">
            <v>110212.97064031847</v>
          </cell>
          <cell r="L75">
            <v>1001936.0967301684</v>
          </cell>
          <cell r="M75">
            <v>110212.97064031847</v>
          </cell>
          <cell r="N75" t="str">
            <v>计划从距地块约2公里处霞光二路中段给水管DN300供水PE主管接驳一根DN300给水管沿霞光二路敷设至地块红线边解决施工用水及开盘用水。(主管道可永临结合使用),每次公里费用约135万元，不含青苗补偿费和人行道拆除修复费用。</v>
          </cell>
          <cell r="O75" t="str">
            <v>建筑面积</v>
          </cell>
          <cell r="P75">
            <v>0</v>
          </cell>
          <cell r="Q75">
            <v>110608.79418459193</v>
          </cell>
          <cell r="R75">
            <v>9696.4139783867995</v>
          </cell>
          <cell r="S75">
            <v>415888.73434915615</v>
          </cell>
          <cell r="T75">
            <v>97164.040191805645</v>
          </cell>
          <cell r="U75">
            <v>0</v>
          </cell>
          <cell r="V75">
            <v>0</v>
          </cell>
          <cell r="W75">
            <v>0</v>
          </cell>
          <cell r="X75">
            <v>0</v>
          </cell>
          <cell r="Y75">
            <v>0</v>
          </cell>
          <cell r="Z75">
            <v>0</v>
          </cell>
          <cell r="AA75">
            <v>0</v>
          </cell>
          <cell r="AB75">
            <v>8294.6227360023931</v>
          </cell>
          <cell r="AC75">
            <v>0</v>
          </cell>
          <cell r="AD75">
            <v>0</v>
          </cell>
          <cell r="AE75">
            <v>0</v>
          </cell>
          <cell r="AF75">
            <v>0</v>
          </cell>
          <cell r="AG75">
            <v>321298.76443101413</v>
          </cell>
          <cell r="AH75">
            <v>38984.726859211252</v>
          </cell>
          <cell r="AI75">
            <v>0</v>
          </cell>
          <cell r="AJ75">
            <v>0</v>
          </cell>
          <cell r="AK75">
            <v>0</v>
          </cell>
          <cell r="AL75">
            <v>0</v>
          </cell>
          <cell r="AM75">
            <v>0</v>
          </cell>
          <cell r="AN75">
            <v>0</v>
          </cell>
          <cell r="AO75">
            <v>0</v>
          </cell>
          <cell r="AP75">
            <v>0</v>
          </cell>
          <cell r="AQ75">
            <v>0</v>
          </cell>
          <cell r="AR75">
            <v>1001936.0967301684</v>
          </cell>
          <cell r="AS75">
            <v>0</v>
          </cell>
        </row>
        <row r="76">
          <cell r="B76" t="str">
            <v>临时施工供电设施</v>
          </cell>
          <cell r="C76" t="str">
            <v>临电数量</v>
          </cell>
          <cell r="D76" t="str">
            <v>项</v>
          </cell>
          <cell r="E76">
            <v>1</v>
          </cell>
          <cell r="F76">
            <v>300000</v>
          </cell>
          <cell r="G76">
            <v>300000</v>
          </cell>
          <cell r="H76">
            <v>0</v>
          </cell>
          <cell r="I76">
            <v>0.10999999999999999</v>
          </cell>
          <cell r="J76">
            <v>270270.2702702703</v>
          </cell>
          <cell r="K76">
            <v>29729.729729729705</v>
          </cell>
          <cell r="L76">
            <v>270270.2702702703</v>
          </cell>
          <cell r="M76">
            <v>29729.729729729705</v>
          </cell>
          <cell r="N76" t="str">
            <v>从10kV小径线F11霞光支线#11塔T接一回供电能力不小于630kVA的电力线（YJV22-8.7/15KV-3*120)至红线边缘设计指定位置（布设一台630KVA变压器和安装一台分接箱供北地块接驳电源，设备安装位置总距离距接驳点约1500m，），可解决施工建设用电及开盘用电，具体距离以实际方案为准，费用约30万元；</v>
          </cell>
          <cell r="O76" t="str">
            <v>建筑面积</v>
          </cell>
          <cell r="P76">
            <v>0</v>
          </cell>
          <cell r="Q76">
            <v>29836.502343910652</v>
          </cell>
          <cell r="R76">
            <v>2615.5883944530597</v>
          </cell>
          <cell r="S76">
            <v>112185.15931478429</v>
          </cell>
          <cell r="T76">
            <v>26209.806682175011</v>
          </cell>
          <cell r="U76">
            <v>0</v>
          </cell>
          <cell r="V76">
            <v>0</v>
          </cell>
          <cell r="W76">
            <v>0</v>
          </cell>
          <cell r="X76">
            <v>0</v>
          </cell>
          <cell r="Y76">
            <v>0</v>
          </cell>
          <cell r="Z76">
            <v>0</v>
          </cell>
          <cell r="AA76">
            <v>0</v>
          </cell>
          <cell r="AB76">
            <v>2237.4579935441056</v>
          </cell>
          <cell r="AC76">
            <v>0</v>
          </cell>
          <cell r="AD76">
            <v>0</v>
          </cell>
          <cell r="AE76">
            <v>0</v>
          </cell>
          <cell r="AF76">
            <v>0</v>
          </cell>
          <cell r="AG76">
            <v>86669.702971745835</v>
          </cell>
          <cell r="AH76">
            <v>10516.052569657297</v>
          </cell>
          <cell r="AI76">
            <v>0</v>
          </cell>
          <cell r="AJ76">
            <v>0</v>
          </cell>
          <cell r="AK76">
            <v>0</v>
          </cell>
          <cell r="AL76">
            <v>0</v>
          </cell>
          <cell r="AM76">
            <v>0</v>
          </cell>
          <cell r="AN76">
            <v>0</v>
          </cell>
          <cell r="AO76">
            <v>0</v>
          </cell>
          <cell r="AP76">
            <v>0</v>
          </cell>
          <cell r="AQ76">
            <v>0</v>
          </cell>
          <cell r="AR76">
            <v>270270.2702702703</v>
          </cell>
          <cell r="AS76">
            <v>0</v>
          </cell>
        </row>
        <row r="77">
          <cell r="A77" t="str">
            <v>02.02.02</v>
          </cell>
          <cell r="B77" t="str">
            <v>场地平整</v>
          </cell>
          <cell r="C77" t="str">
            <v>占地面积</v>
          </cell>
          <cell r="D77" t="str">
            <v>m2</v>
          </cell>
          <cell r="E77">
            <v>110208.99539942089</v>
          </cell>
          <cell r="F77">
            <v>239.90654409992865</v>
          </cell>
          <cell r="G77">
            <v>26439859.215000004</v>
          </cell>
          <cell r="H77">
            <v>0</v>
          </cell>
          <cell r="I77">
            <v>0.10999999999999995</v>
          </cell>
          <cell r="J77">
            <v>216.13202171164747</v>
          </cell>
          <cell r="K77">
            <v>23.774522388281184</v>
          </cell>
          <cell r="L77">
            <v>23819692.986486491</v>
          </cell>
          <cell r="M77">
            <v>2620166.2285135128</v>
          </cell>
          <cell r="P77">
            <v>0</v>
          </cell>
          <cell r="Q77">
            <v>9006626.5922650602</v>
          </cell>
          <cell r="R77">
            <v>789557.29181536217</v>
          </cell>
          <cell r="S77">
            <v>11017279.286457265</v>
          </cell>
          <cell r="T77">
            <v>2573965.7725255084</v>
          </cell>
          <cell r="U77">
            <v>0</v>
          </cell>
          <cell r="V77">
            <v>0</v>
          </cell>
          <cell r="W77">
            <v>0</v>
          </cell>
          <cell r="X77">
            <v>0</v>
          </cell>
          <cell r="Y77">
            <v>0</v>
          </cell>
          <cell r="Z77">
            <v>0</v>
          </cell>
          <cell r="AA77">
            <v>0</v>
          </cell>
          <cell r="AB77">
            <v>432264.04342329496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23819692.986486491</v>
          </cell>
          <cell r="AS77">
            <v>0</v>
          </cell>
        </row>
        <row r="78">
          <cell r="B78" t="str">
            <v>场地平整</v>
          </cell>
          <cell r="C78" t="str">
            <v>场平面积</v>
          </cell>
          <cell r="D78" t="str">
            <v>项</v>
          </cell>
          <cell r="E78">
            <v>100000.00000499999</v>
          </cell>
          <cell r="G78">
            <v>0</v>
          </cell>
          <cell r="H78">
            <v>0</v>
          </cell>
          <cell r="I78">
            <v>0.10999999999999999</v>
          </cell>
          <cell r="J78">
            <v>0</v>
          </cell>
          <cell r="K78">
            <v>0</v>
          </cell>
          <cell r="L78">
            <v>0</v>
          </cell>
          <cell r="M78">
            <v>0</v>
          </cell>
          <cell r="N78" t="str">
            <v>清表费用暂定30元/m2</v>
          </cell>
          <cell r="O78" t="str">
            <v>占地面积</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row>
        <row r="79">
          <cell r="B79" t="str">
            <v>土石方工程</v>
          </cell>
          <cell r="C79" t="str">
            <v>土方数量</v>
          </cell>
          <cell r="D79" t="str">
            <v>m3</v>
          </cell>
          <cell r="E79">
            <v>467962.11000000004</v>
          </cell>
          <cell r="F79">
            <v>56.5</v>
          </cell>
          <cell r="G79">
            <v>26439859.215000004</v>
          </cell>
          <cell r="H79">
            <v>0</v>
          </cell>
          <cell r="I79">
            <v>0.10999999999999999</v>
          </cell>
          <cell r="J79">
            <v>50.900900900900908</v>
          </cell>
          <cell r="K79">
            <v>5.5990990990990923</v>
          </cell>
          <cell r="L79">
            <v>23819692.986486491</v>
          </cell>
          <cell r="M79">
            <v>2620166.2285135128</v>
          </cell>
          <cell r="N79" t="str">
            <v>按土方平衡方案前期测算造价，内运土方10万方，单价18.4元/方，外运土方30万方，单价30.4元/方，土石方爆破5万方单价36.8元/方，土石方静爆5万方，单价100元/方，土石方总量约160万方</v>
          </cell>
          <cell r="O79" t="str">
            <v>占地面积</v>
          </cell>
          <cell r="P79">
            <v>0</v>
          </cell>
          <cell r="Q79">
            <v>9006626.5922650602</v>
          </cell>
          <cell r="R79">
            <v>789557.29181536217</v>
          </cell>
          <cell r="S79">
            <v>11017279.286457265</v>
          </cell>
          <cell r="T79">
            <v>2573965.7725255084</v>
          </cell>
          <cell r="U79">
            <v>0</v>
          </cell>
          <cell r="V79">
            <v>0</v>
          </cell>
          <cell r="W79">
            <v>0</v>
          </cell>
          <cell r="X79">
            <v>0</v>
          </cell>
          <cell r="Y79">
            <v>0</v>
          </cell>
          <cell r="Z79">
            <v>0</v>
          </cell>
          <cell r="AA79">
            <v>0</v>
          </cell>
          <cell r="AB79">
            <v>432264.04342329496</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23819692.986486491</v>
          </cell>
          <cell r="AS79">
            <v>0</v>
          </cell>
        </row>
        <row r="80">
          <cell r="A80" t="str">
            <v>02.02.03</v>
          </cell>
          <cell r="B80" t="str">
            <v>临时设施</v>
          </cell>
          <cell r="C80" t="str">
            <v>建筑面积</v>
          </cell>
          <cell r="D80" t="str">
            <v>m2</v>
          </cell>
          <cell r="E80">
            <v>241586.90000000002</v>
          </cell>
          <cell r="F80">
            <v>13.580206542656079</v>
          </cell>
          <cell r="G80">
            <v>3280800</v>
          </cell>
          <cell r="H80">
            <v>0</v>
          </cell>
          <cell r="I80">
            <v>0.10999999999999981</v>
          </cell>
          <cell r="J80">
            <v>12.234420308699171</v>
          </cell>
          <cell r="K80">
            <v>1.3457862339569076</v>
          </cell>
          <cell r="L80">
            <v>2955675.6756756762</v>
          </cell>
          <cell r="M80">
            <v>325124.3243243238</v>
          </cell>
          <cell r="P80">
            <v>0</v>
          </cell>
          <cell r="Q80">
            <v>326291.98963300692</v>
          </cell>
          <cell r="R80">
            <v>28604.074681738664</v>
          </cell>
          <cell r="S80">
            <v>1226856.902266481</v>
          </cell>
          <cell r="T80">
            <v>286630.44587626593</v>
          </cell>
          <cell r="U80">
            <v>0</v>
          </cell>
          <cell r="V80">
            <v>0</v>
          </cell>
          <cell r="W80">
            <v>0</v>
          </cell>
          <cell r="X80">
            <v>0</v>
          </cell>
          <cell r="Y80">
            <v>0</v>
          </cell>
          <cell r="Z80">
            <v>0</v>
          </cell>
          <cell r="AA80">
            <v>0</v>
          </cell>
          <cell r="AB80">
            <v>24468.840617398339</v>
          </cell>
          <cell r="AC80">
            <v>0</v>
          </cell>
          <cell r="AD80">
            <v>0</v>
          </cell>
          <cell r="AE80">
            <v>0</v>
          </cell>
          <cell r="AF80">
            <v>0</v>
          </cell>
          <cell r="AG80">
            <v>947819.87169901258</v>
          </cell>
          <cell r="AH80">
            <v>115003.55090177219</v>
          </cell>
          <cell r="AI80">
            <v>0</v>
          </cell>
          <cell r="AJ80">
            <v>0</v>
          </cell>
          <cell r="AK80">
            <v>0</v>
          </cell>
          <cell r="AL80">
            <v>0</v>
          </cell>
          <cell r="AM80">
            <v>0</v>
          </cell>
          <cell r="AN80">
            <v>0</v>
          </cell>
          <cell r="AO80">
            <v>0</v>
          </cell>
          <cell r="AP80">
            <v>0</v>
          </cell>
          <cell r="AQ80">
            <v>0</v>
          </cell>
          <cell r="AR80">
            <v>2955675.6756756753</v>
          </cell>
          <cell r="AS80">
            <v>0</v>
          </cell>
        </row>
        <row r="81">
          <cell r="B81" t="str">
            <v>临时办公、宿舍设施</v>
          </cell>
          <cell r="C81" t="str">
            <v>临舍面积</v>
          </cell>
          <cell r="D81" t="str">
            <v>m2</v>
          </cell>
          <cell r="E81">
            <v>1000</v>
          </cell>
          <cell r="F81">
            <v>3000</v>
          </cell>
          <cell r="G81">
            <v>3000000</v>
          </cell>
          <cell r="H81">
            <v>0</v>
          </cell>
          <cell r="I81">
            <v>0.10999999999999999</v>
          </cell>
          <cell r="J81">
            <v>2702.7027027027029</v>
          </cell>
          <cell r="K81">
            <v>297.29729729729706</v>
          </cell>
          <cell r="L81">
            <v>2702702.702702703</v>
          </cell>
          <cell r="M81">
            <v>297297.29729729705</v>
          </cell>
          <cell r="N81" t="str">
            <v>现暂用合作方板房，新办公室板房造价</v>
          </cell>
          <cell r="O81" t="str">
            <v>建筑面积</v>
          </cell>
          <cell r="P81">
            <v>0</v>
          </cell>
          <cell r="Q81">
            <v>298365.02343910653</v>
          </cell>
          <cell r="R81">
            <v>26155.8839445306</v>
          </cell>
          <cell r="S81">
            <v>1121851.5931478429</v>
          </cell>
          <cell r="T81">
            <v>262098.06682175011</v>
          </cell>
          <cell r="U81">
            <v>0</v>
          </cell>
          <cell r="V81">
            <v>0</v>
          </cell>
          <cell r="W81">
            <v>0</v>
          </cell>
          <cell r="X81">
            <v>0</v>
          </cell>
          <cell r="Y81">
            <v>0</v>
          </cell>
          <cell r="Z81">
            <v>0</v>
          </cell>
          <cell r="AA81">
            <v>0</v>
          </cell>
          <cell r="AB81">
            <v>22374.579935441056</v>
          </cell>
          <cell r="AC81">
            <v>0</v>
          </cell>
          <cell r="AD81">
            <v>0</v>
          </cell>
          <cell r="AE81">
            <v>0</v>
          </cell>
          <cell r="AF81">
            <v>0</v>
          </cell>
          <cell r="AG81">
            <v>866697.02971745841</v>
          </cell>
          <cell r="AH81">
            <v>105160.52569657296</v>
          </cell>
          <cell r="AI81">
            <v>0</v>
          </cell>
          <cell r="AJ81">
            <v>0</v>
          </cell>
          <cell r="AK81">
            <v>0</v>
          </cell>
          <cell r="AL81">
            <v>0</v>
          </cell>
          <cell r="AM81">
            <v>0</v>
          </cell>
          <cell r="AN81">
            <v>0</v>
          </cell>
          <cell r="AO81">
            <v>0</v>
          </cell>
          <cell r="AP81">
            <v>0</v>
          </cell>
          <cell r="AQ81">
            <v>0</v>
          </cell>
          <cell r="AR81">
            <v>2702702.7027027025</v>
          </cell>
          <cell r="AS81">
            <v>0</v>
          </cell>
        </row>
        <row r="82">
          <cell r="B82" t="str">
            <v>临时场地</v>
          </cell>
          <cell r="C82" t="str">
            <v>临场面积</v>
          </cell>
          <cell r="D82" t="str">
            <v>m2</v>
          </cell>
          <cell r="G82">
            <v>0</v>
          </cell>
          <cell r="H82">
            <v>0</v>
          </cell>
          <cell r="I82">
            <v>0.10999999999999999</v>
          </cell>
          <cell r="J82">
            <v>0</v>
          </cell>
          <cell r="K82">
            <v>0</v>
          </cell>
          <cell r="L82">
            <v>0</v>
          </cell>
          <cell r="M82">
            <v>0</v>
          </cell>
          <cell r="N82" t="str">
            <v>无此项费用</v>
          </cell>
          <cell r="O82" t="str">
            <v>建筑面积</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row>
        <row r="83">
          <cell r="B83" t="str">
            <v>临时围墙</v>
          </cell>
          <cell r="C83" t="str">
            <v>围墙长度</v>
          </cell>
          <cell r="D83" t="str">
            <v>m2</v>
          </cell>
          <cell r="E83">
            <v>1200</v>
          </cell>
          <cell r="F83">
            <v>0</v>
          </cell>
          <cell r="H83">
            <v>0</v>
          </cell>
          <cell r="I83">
            <v>0.10999999999999999</v>
          </cell>
          <cell r="J83">
            <v>0</v>
          </cell>
          <cell r="K83">
            <v>0</v>
          </cell>
          <cell r="L83">
            <v>0</v>
          </cell>
          <cell r="M83">
            <v>0</v>
          </cell>
          <cell r="N83" t="str">
            <v>生活区与作业区围挡，取236元/㎡，红线围栏120元/米，按照3公里</v>
          </cell>
          <cell r="O83" t="str">
            <v>建筑面积</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临时围板</v>
          </cell>
          <cell r="C84" t="str">
            <v>围板面积</v>
          </cell>
          <cell r="D84" t="str">
            <v>m2</v>
          </cell>
          <cell r="E84">
            <v>1600</v>
          </cell>
          <cell r="F84">
            <v>175.5</v>
          </cell>
          <cell r="G84">
            <v>280800</v>
          </cell>
          <cell r="H84">
            <v>0</v>
          </cell>
          <cell r="I84">
            <v>0.10999999999999999</v>
          </cell>
          <cell r="J84">
            <v>158.10810810810813</v>
          </cell>
          <cell r="K84">
            <v>17.391891891891873</v>
          </cell>
          <cell r="L84">
            <v>252972.97297297302</v>
          </cell>
          <cell r="M84">
            <v>27827.027027026983</v>
          </cell>
          <cell r="N84" t="str">
            <v>按临近路的两侧面考虑临时围板，高度按4米，单价参照一期北已签订的合同单价135元/㎡上浮30%</v>
          </cell>
          <cell r="O84" t="str">
            <v>建筑面积</v>
          </cell>
          <cell r="P84">
            <v>0</v>
          </cell>
          <cell r="Q84">
            <v>27926.966193900374</v>
          </cell>
          <cell r="R84">
            <v>2448.1907372080641</v>
          </cell>
          <cell r="S84">
            <v>105005.30911863811</v>
          </cell>
          <cell r="T84">
            <v>24532.379054515812</v>
          </cell>
          <cell r="U84">
            <v>0</v>
          </cell>
          <cell r="V84">
            <v>0</v>
          </cell>
          <cell r="W84">
            <v>0</v>
          </cell>
          <cell r="X84">
            <v>0</v>
          </cell>
          <cell r="Y84">
            <v>0</v>
          </cell>
          <cell r="Z84">
            <v>0</v>
          </cell>
          <cell r="AA84">
            <v>0</v>
          </cell>
          <cell r="AB84">
            <v>2094.2606819572829</v>
          </cell>
          <cell r="AC84">
            <v>0</v>
          </cell>
          <cell r="AD84">
            <v>0</v>
          </cell>
          <cell r="AE84">
            <v>0</v>
          </cell>
          <cell r="AF84">
            <v>0</v>
          </cell>
          <cell r="AG84">
            <v>81122.841981554113</v>
          </cell>
          <cell r="AH84">
            <v>9843.0252051992302</v>
          </cell>
          <cell r="AI84">
            <v>0</v>
          </cell>
          <cell r="AJ84">
            <v>0</v>
          </cell>
          <cell r="AK84">
            <v>0</v>
          </cell>
          <cell r="AL84">
            <v>0</v>
          </cell>
          <cell r="AM84">
            <v>0</v>
          </cell>
          <cell r="AN84">
            <v>0</v>
          </cell>
          <cell r="AO84">
            <v>0</v>
          </cell>
          <cell r="AP84">
            <v>0</v>
          </cell>
          <cell r="AQ84">
            <v>0</v>
          </cell>
          <cell r="AR84">
            <v>252972.97297297299</v>
          </cell>
          <cell r="AS84">
            <v>0</v>
          </cell>
        </row>
        <row r="85">
          <cell r="A85" t="str">
            <v>02.02.04</v>
          </cell>
          <cell r="B85" t="str">
            <v>勘测丈量费</v>
          </cell>
          <cell r="C85" t="str">
            <v>建筑面积</v>
          </cell>
          <cell r="D85" t="str">
            <v>m2</v>
          </cell>
          <cell r="E85">
            <v>241586.90000000002</v>
          </cell>
          <cell r="F85">
            <v>19.585854199875904</v>
          </cell>
          <cell r="G85">
            <v>4731685.8000000007</v>
          </cell>
          <cell r="H85">
            <v>0</v>
          </cell>
          <cell r="I85">
            <v>6.0000000000000067E-2</v>
          </cell>
          <cell r="J85">
            <v>18.477220943279153</v>
          </cell>
          <cell r="K85">
            <v>1.1086332565967503</v>
          </cell>
          <cell r="L85">
            <v>4463854.5283018872</v>
          </cell>
          <cell r="M85">
            <v>267831.27169811353</v>
          </cell>
          <cell r="P85">
            <v>0</v>
          </cell>
          <cell r="Q85">
            <v>492787.48255725508</v>
          </cell>
          <cell r="R85">
            <v>43199.742565386659</v>
          </cell>
          <cell r="S85">
            <v>1852879.4562376032</v>
          </cell>
          <cell r="T85">
            <v>432888.02770333266</v>
          </cell>
          <cell r="U85">
            <v>0</v>
          </cell>
          <cell r="V85">
            <v>0</v>
          </cell>
          <cell r="W85">
            <v>0</v>
          </cell>
          <cell r="X85">
            <v>0</v>
          </cell>
          <cell r="Y85">
            <v>0</v>
          </cell>
          <cell r="Z85">
            <v>0</v>
          </cell>
          <cell r="AA85">
            <v>0</v>
          </cell>
          <cell r="AB85">
            <v>36954.441886558307</v>
          </cell>
          <cell r="AC85">
            <v>0</v>
          </cell>
          <cell r="AD85">
            <v>0</v>
          </cell>
          <cell r="AE85">
            <v>0</v>
          </cell>
          <cell r="AF85">
            <v>0</v>
          </cell>
          <cell r="AG85">
            <v>1431459.5004849262</v>
          </cell>
          <cell r="AH85">
            <v>173685.87686682405</v>
          </cell>
          <cell r="AI85">
            <v>0</v>
          </cell>
          <cell r="AJ85">
            <v>0</v>
          </cell>
          <cell r="AK85">
            <v>0</v>
          </cell>
          <cell r="AL85">
            <v>0</v>
          </cell>
          <cell r="AM85">
            <v>0</v>
          </cell>
          <cell r="AN85">
            <v>0</v>
          </cell>
          <cell r="AO85">
            <v>0</v>
          </cell>
          <cell r="AP85">
            <v>0</v>
          </cell>
          <cell r="AQ85">
            <v>0</v>
          </cell>
          <cell r="AR85">
            <v>4463854.5283018863</v>
          </cell>
          <cell r="AS85">
            <v>0</v>
          </cell>
        </row>
        <row r="86">
          <cell r="B86" t="str">
            <v>初勘</v>
          </cell>
          <cell r="C86" t="str">
            <v>勘测长度</v>
          </cell>
          <cell r="D86" t="str">
            <v>m</v>
          </cell>
          <cell r="E86">
            <v>1780</v>
          </cell>
          <cell r="F86">
            <v>136</v>
          </cell>
          <cell r="G86">
            <v>242080</v>
          </cell>
          <cell r="I86">
            <v>0.06</v>
          </cell>
          <cell r="J86">
            <v>128.30188679245282</v>
          </cell>
          <cell r="K86">
            <v>7.6981132075471805</v>
          </cell>
          <cell r="L86">
            <v>228377.35849056602</v>
          </cell>
          <cell r="M86">
            <v>13702.641509433975</v>
          </cell>
          <cell r="N86" t="str">
            <v>依据已签订合同，勘察钻孔89个，总进尺1,780.00米，综合单价包干（综合单价包括了人工费、材料费、机械费、措施项目费、利润、税金等完成项目所需的一切费用）136元/米。</v>
          </cell>
          <cell r="O86" t="str">
            <v>建筑面积</v>
          </cell>
          <cell r="P86">
            <v>0</v>
          </cell>
          <cell r="Q86">
            <v>25211.731890029616</v>
          </cell>
          <cell r="R86">
            <v>2210.1623231679505</v>
          </cell>
          <cell r="S86">
            <v>94796.03628076888</v>
          </cell>
          <cell r="T86">
            <v>22147.187741507005</v>
          </cell>
          <cell r="U86">
            <v>0</v>
          </cell>
          <cell r="V86">
            <v>0</v>
          </cell>
          <cell r="W86">
            <v>0</v>
          </cell>
          <cell r="X86">
            <v>0</v>
          </cell>
          <cell r="Y86">
            <v>0</v>
          </cell>
          <cell r="Z86">
            <v>0</v>
          </cell>
          <cell r="AA86">
            <v>0</v>
          </cell>
          <cell r="AB86">
            <v>1890.6435613070576</v>
          </cell>
          <cell r="AC86">
            <v>0</v>
          </cell>
          <cell r="AD86">
            <v>0</v>
          </cell>
          <cell r="AE86">
            <v>0</v>
          </cell>
          <cell r="AF86">
            <v>0</v>
          </cell>
          <cell r="AG86">
            <v>73235.571955642314</v>
          </cell>
          <cell r="AH86">
            <v>8886.0247381431709</v>
          </cell>
          <cell r="AI86">
            <v>0</v>
          </cell>
          <cell r="AJ86">
            <v>0</v>
          </cell>
          <cell r="AK86">
            <v>0</v>
          </cell>
          <cell r="AL86">
            <v>0</v>
          </cell>
          <cell r="AM86">
            <v>0</v>
          </cell>
          <cell r="AN86">
            <v>0</v>
          </cell>
          <cell r="AO86">
            <v>0</v>
          </cell>
          <cell r="AP86">
            <v>0</v>
          </cell>
          <cell r="AQ86">
            <v>0</v>
          </cell>
          <cell r="AR86">
            <v>228377.358490566</v>
          </cell>
          <cell r="AS86">
            <v>0</v>
          </cell>
        </row>
        <row r="87">
          <cell r="B87" t="str">
            <v>详勘</v>
          </cell>
          <cell r="C87" t="str">
            <v>勘测长度</v>
          </cell>
          <cell r="D87" t="str">
            <v>m</v>
          </cell>
          <cell r="E87">
            <v>5421</v>
          </cell>
          <cell r="F87">
            <v>85.927873086146462</v>
          </cell>
          <cell r="G87">
            <v>465815</v>
          </cell>
          <cell r="I87">
            <v>0.06</v>
          </cell>
          <cell r="J87">
            <v>81.064031213345714</v>
          </cell>
          <cell r="K87">
            <v>4.863841872800748</v>
          </cell>
          <cell r="L87">
            <v>439448.11320754711</v>
          </cell>
          <cell r="M87">
            <v>26366.886792452889</v>
          </cell>
          <cell r="N87" t="str">
            <v>1、详勘费用中，已勘测170个点，每点29.7米，每米单价81元，合计62400元。
2、超前钻预估361米，单价参照一期北已签订合同155元/m</v>
          </cell>
          <cell r="O87" t="str">
            <v>建筑面积</v>
          </cell>
          <cell r="P87">
            <v>0</v>
          </cell>
          <cell r="Q87">
            <v>48512.900241053139</v>
          </cell>
          <cell r="R87">
            <v>4252.8369240188322</v>
          </cell>
          <cell r="S87">
            <v>182408.35938584912</v>
          </cell>
          <cell r="T87">
            <v>42616.045347860556</v>
          </cell>
          <cell r="U87">
            <v>0</v>
          </cell>
          <cell r="V87">
            <v>0</v>
          </cell>
          <cell r="W87">
            <v>0</v>
          </cell>
          <cell r="X87">
            <v>0</v>
          </cell>
          <cell r="Y87">
            <v>0</v>
          </cell>
          <cell r="Z87">
            <v>0</v>
          </cell>
          <cell r="AA87">
            <v>0</v>
          </cell>
          <cell r="AB87">
            <v>3638.0127664831748</v>
          </cell>
          <cell r="AC87">
            <v>0</v>
          </cell>
          <cell r="AD87">
            <v>0</v>
          </cell>
          <cell r="AE87">
            <v>0</v>
          </cell>
          <cell r="AF87">
            <v>0</v>
          </cell>
          <cell r="AG87">
            <v>140921.29853981131</v>
          </cell>
          <cell r="AH87">
            <v>17098.660002470922</v>
          </cell>
          <cell r="AI87">
            <v>0</v>
          </cell>
          <cell r="AJ87">
            <v>0</v>
          </cell>
          <cell r="AK87">
            <v>0</v>
          </cell>
          <cell r="AL87">
            <v>0</v>
          </cell>
          <cell r="AM87">
            <v>0</v>
          </cell>
          <cell r="AN87">
            <v>0</v>
          </cell>
          <cell r="AO87">
            <v>0</v>
          </cell>
          <cell r="AP87">
            <v>0</v>
          </cell>
          <cell r="AQ87">
            <v>0</v>
          </cell>
          <cell r="AR87">
            <v>439448.11320754711</v>
          </cell>
          <cell r="AS87">
            <v>0</v>
          </cell>
        </row>
        <row r="88">
          <cell r="B88" t="str">
            <v>地形测量</v>
          </cell>
          <cell r="C88" t="str">
            <v>测量面积</v>
          </cell>
          <cell r="D88" t="str">
            <v>m2</v>
          </cell>
          <cell r="E88">
            <v>110208.99539942089</v>
          </cell>
          <cell r="F88">
            <v>3.4761227848195508</v>
          </cell>
          <cell r="G88">
            <v>383100</v>
          </cell>
          <cell r="I88">
            <v>0.06</v>
          </cell>
          <cell r="J88">
            <v>3.2793611177542932</v>
          </cell>
          <cell r="K88">
            <v>0.19676166706525766</v>
          </cell>
          <cell r="L88">
            <v>361415.09433962265</v>
          </cell>
          <cell r="M88">
            <v>21684.90566037735</v>
          </cell>
          <cell r="N88" t="str">
            <v>测量工程量8210亩，综合单价包干，包干价0.07元/m2；全地块分摊</v>
          </cell>
          <cell r="O88" t="str">
            <v>建筑面积</v>
          </cell>
          <cell r="P88">
            <v>0</v>
          </cell>
          <cell r="Q88">
            <v>39898.440544738711</v>
          </cell>
          <cell r="R88">
            <v>3497.6585674390362</v>
          </cell>
          <cell r="S88">
            <v>150018.01676785594</v>
          </cell>
          <cell r="T88">
            <v>35048.69309224774</v>
          </cell>
          <cell r="U88">
            <v>0</v>
          </cell>
          <cell r="V88">
            <v>0</v>
          </cell>
          <cell r="W88">
            <v>0</v>
          </cell>
          <cell r="X88">
            <v>0</v>
          </cell>
          <cell r="Y88">
            <v>0</v>
          </cell>
          <cell r="Z88">
            <v>0</v>
          </cell>
          <cell r="AA88">
            <v>0</v>
          </cell>
          <cell r="AB88">
            <v>2992.0090397254371</v>
          </cell>
          <cell r="AC88">
            <v>0</v>
          </cell>
          <cell r="AD88">
            <v>0</v>
          </cell>
          <cell r="AE88">
            <v>0</v>
          </cell>
          <cell r="AF88">
            <v>0</v>
          </cell>
          <cell r="AG88">
            <v>115897.83384090618</v>
          </cell>
          <cell r="AH88">
            <v>14062.442486709555</v>
          </cell>
          <cell r="AI88">
            <v>0</v>
          </cell>
          <cell r="AJ88">
            <v>0</v>
          </cell>
          <cell r="AK88">
            <v>0</v>
          </cell>
          <cell r="AL88">
            <v>0</v>
          </cell>
          <cell r="AM88">
            <v>0</v>
          </cell>
          <cell r="AN88">
            <v>0</v>
          </cell>
          <cell r="AO88">
            <v>0</v>
          </cell>
          <cell r="AP88">
            <v>0</v>
          </cell>
          <cell r="AQ88">
            <v>0</v>
          </cell>
          <cell r="AR88">
            <v>361415.09433962265</v>
          </cell>
          <cell r="AS88">
            <v>0</v>
          </cell>
        </row>
        <row r="89">
          <cell r="B89" t="str">
            <v>沉降观测及基坑观测</v>
          </cell>
          <cell r="C89" t="str">
            <v>观测面积</v>
          </cell>
          <cell r="D89" t="str">
            <v>m2</v>
          </cell>
          <cell r="E89">
            <v>241586.90000000002</v>
          </cell>
          <cell r="F89">
            <v>3.0699015550925979</v>
          </cell>
          <cell r="G89">
            <v>741648</v>
          </cell>
          <cell r="I89">
            <v>0.06</v>
          </cell>
          <cell r="J89">
            <v>2.8961335425401864</v>
          </cell>
          <cell r="K89">
            <v>0.17376801255241148</v>
          </cell>
          <cell r="L89">
            <v>699667.92452830181</v>
          </cell>
          <cell r="M89">
            <v>41980.07547169819</v>
          </cell>
          <cell r="N89" t="str">
            <v>1、参考丽山别墅沉降观测清单，预估6000元/栋，上浮5%。
2、多层每栋楼12个点即4*12=168个点，每个点15次，观测费70元*168*15=176400元。基准点埋设3*1216=3648元。监测点埋设费50*72=3600元。</v>
          </cell>
          <cell r="O89" t="str">
            <v>建筑面积</v>
          </cell>
          <cell r="P89">
            <v>0</v>
          </cell>
          <cell r="Q89">
            <v>77239.881579546767</v>
          </cell>
          <cell r="R89">
            <v>6771.160222458956</v>
          </cell>
          <cell r="S89">
            <v>290421.72304841242</v>
          </cell>
          <cell r="T89">
            <v>67851.195861339991</v>
          </cell>
          <cell r="U89">
            <v>0</v>
          </cell>
          <cell r="V89">
            <v>0</v>
          </cell>
          <cell r="W89">
            <v>0</v>
          </cell>
          <cell r="X89">
            <v>0</v>
          </cell>
          <cell r="Y89">
            <v>0</v>
          </cell>
          <cell r="Z89">
            <v>0</v>
          </cell>
          <cell r="AA89">
            <v>0</v>
          </cell>
          <cell r="AB89">
            <v>5792.2670850803725</v>
          </cell>
          <cell r="AC89">
            <v>0</v>
          </cell>
          <cell r="AD89">
            <v>0</v>
          </cell>
          <cell r="AE89">
            <v>0</v>
          </cell>
          <cell r="AF89">
            <v>0</v>
          </cell>
          <cell r="AG89">
            <v>224368.04143158544</v>
          </cell>
          <cell r="AH89">
            <v>27223.655299877752</v>
          </cell>
          <cell r="AI89">
            <v>0</v>
          </cell>
          <cell r="AJ89">
            <v>0</v>
          </cell>
          <cell r="AK89">
            <v>0</v>
          </cell>
          <cell r="AL89">
            <v>0</v>
          </cell>
          <cell r="AM89">
            <v>0</v>
          </cell>
          <cell r="AN89">
            <v>0</v>
          </cell>
          <cell r="AO89">
            <v>0</v>
          </cell>
          <cell r="AP89">
            <v>0</v>
          </cell>
          <cell r="AQ89">
            <v>0</v>
          </cell>
          <cell r="AR89">
            <v>699667.92452830169</v>
          </cell>
          <cell r="AS89">
            <v>0</v>
          </cell>
        </row>
        <row r="90">
          <cell r="B90" t="str">
            <v>验线、复线、定线、放线和面积丈量</v>
          </cell>
          <cell r="C90" t="str">
            <v>测量面积</v>
          </cell>
          <cell r="D90" t="str">
            <v>m2</v>
          </cell>
          <cell r="E90">
            <v>241586.90000000002</v>
          </cell>
          <cell r="F90">
            <v>12</v>
          </cell>
          <cell r="G90">
            <v>2899042.8000000003</v>
          </cell>
          <cell r="I90">
            <v>0.06</v>
          </cell>
          <cell r="J90">
            <v>11.320754716981131</v>
          </cell>
          <cell r="K90">
            <v>0.67924528301886866</v>
          </cell>
          <cell r="L90">
            <v>2734946.0377358492</v>
          </cell>
          <cell r="M90">
            <v>164096.76226415113</v>
          </cell>
          <cell r="N90" t="str">
            <v>预测实测按照3元/平米，建筑测量验收费用按照2元/平米。</v>
          </cell>
          <cell r="O90" t="str">
            <v>建筑面积</v>
          </cell>
          <cell r="P90">
            <v>0</v>
          </cell>
          <cell r="Q90">
            <v>301924.52830188681</v>
          </cell>
          <cell r="R90">
            <v>26467.924528301886</v>
          </cell>
          <cell r="S90">
            <v>1135235.3207547169</v>
          </cell>
          <cell r="T90">
            <v>265224.90566037735</v>
          </cell>
          <cell r="U90">
            <v>0</v>
          </cell>
          <cell r="V90">
            <v>0</v>
          </cell>
          <cell r="W90">
            <v>0</v>
          </cell>
          <cell r="X90">
            <v>0</v>
          </cell>
          <cell r="Y90">
            <v>0</v>
          </cell>
          <cell r="Z90">
            <v>0</v>
          </cell>
          <cell r="AA90">
            <v>0</v>
          </cell>
          <cell r="AB90">
            <v>22641.509433962263</v>
          </cell>
          <cell r="AC90">
            <v>0</v>
          </cell>
          <cell r="AD90">
            <v>0</v>
          </cell>
          <cell r="AE90">
            <v>0</v>
          </cell>
          <cell r="AF90">
            <v>0</v>
          </cell>
          <cell r="AG90">
            <v>877036.75471698109</v>
          </cell>
          <cell r="AH90">
            <v>106415.09433962264</v>
          </cell>
          <cell r="AI90">
            <v>0</v>
          </cell>
          <cell r="AJ90">
            <v>0</v>
          </cell>
          <cell r="AK90">
            <v>0</v>
          </cell>
          <cell r="AL90">
            <v>0</v>
          </cell>
          <cell r="AM90">
            <v>0</v>
          </cell>
          <cell r="AN90">
            <v>0</v>
          </cell>
          <cell r="AO90">
            <v>0</v>
          </cell>
          <cell r="AP90">
            <v>0</v>
          </cell>
          <cell r="AQ90">
            <v>0</v>
          </cell>
          <cell r="AR90">
            <v>2734946.0377358487</v>
          </cell>
          <cell r="AS90">
            <v>0</v>
          </cell>
        </row>
        <row r="91">
          <cell r="A91" t="str">
            <v>02.02.05</v>
          </cell>
          <cell r="B91" t="str">
            <v>规划设计费</v>
          </cell>
          <cell r="C91" t="str">
            <v>建筑面积</v>
          </cell>
          <cell r="D91" t="str">
            <v>m2</v>
          </cell>
          <cell r="E91">
            <v>241586.90000000002</v>
          </cell>
          <cell r="F91">
            <v>57.033960388009021</v>
          </cell>
          <cell r="G91">
            <v>13778657.684861898</v>
          </cell>
          <cell r="I91">
            <v>5.9999999999999803E-2</v>
          </cell>
          <cell r="J91">
            <v>53.805623007555695</v>
          </cell>
          <cell r="K91">
            <v>3.2283373804533255</v>
          </cell>
          <cell r="L91">
            <v>12998733.664964058</v>
          </cell>
          <cell r="M91">
            <v>779924.01989784092</v>
          </cell>
          <cell r="P91">
            <v>0</v>
          </cell>
          <cell r="Q91">
            <v>1434995.9656115102</v>
          </cell>
          <cell r="R91">
            <v>125797.54659166523</v>
          </cell>
          <cell r="S91">
            <v>5395580.5262494376</v>
          </cell>
          <cell r="T91">
            <v>1260568.8969456162</v>
          </cell>
          <cell r="U91">
            <v>0</v>
          </cell>
          <cell r="V91">
            <v>0</v>
          </cell>
          <cell r="W91">
            <v>0</v>
          </cell>
          <cell r="X91">
            <v>0</v>
          </cell>
          <cell r="Y91">
            <v>0</v>
          </cell>
          <cell r="Z91">
            <v>0</v>
          </cell>
          <cell r="AA91">
            <v>0</v>
          </cell>
          <cell r="AB91">
            <v>107611.24601511138</v>
          </cell>
          <cell r="AC91">
            <v>0</v>
          </cell>
          <cell r="AD91">
            <v>0</v>
          </cell>
          <cell r="AE91">
            <v>0</v>
          </cell>
          <cell r="AF91">
            <v>0</v>
          </cell>
          <cell r="AG91">
            <v>4168406.6272796909</v>
          </cell>
          <cell r="AH91">
            <v>505772.85627102345</v>
          </cell>
          <cell r="AI91">
            <v>0</v>
          </cell>
          <cell r="AJ91">
            <v>0</v>
          </cell>
          <cell r="AK91">
            <v>0</v>
          </cell>
          <cell r="AL91">
            <v>0</v>
          </cell>
          <cell r="AM91">
            <v>0</v>
          </cell>
          <cell r="AN91">
            <v>0</v>
          </cell>
          <cell r="AO91">
            <v>0</v>
          </cell>
          <cell r="AP91">
            <v>0</v>
          </cell>
          <cell r="AQ91">
            <v>0</v>
          </cell>
          <cell r="AR91">
            <v>12998733.664964054</v>
          </cell>
          <cell r="AS91">
            <v>0</v>
          </cell>
        </row>
        <row r="92">
          <cell r="B92" t="str">
            <v>可行性研究</v>
          </cell>
          <cell r="C92" t="str">
            <v>建筑面积</v>
          </cell>
          <cell r="D92" t="str">
            <v>m2</v>
          </cell>
          <cell r="E92">
            <v>1</v>
          </cell>
          <cell r="F92">
            <v>26485.0548618994</v>
          </cell>
          <cell r="G92">
            <v>26485.0548618994</v>
          </cell>
          <cell r="I92">
            <v>0.06</v>
          </cell>
          <cell r="J92">
            <v>24985.900813112639</v>
          </cell>
          <cell r="K92">
            <v>1499.1540487867605</v>
          </cell>
          <cell r="L92">
            <v>24985.900813112639</v>
          </cell>
          <cell r="M92">
            <v>1499.1540487867605</v>
          </cell>
          <cell r="N92" t="str">
            <v>依据已签订合同，共计449.31公顷</v>
          </cell>
          <cell r="O92" t="str">
            <v>建筑面积</v>
          </cell>
          <cell r="P92">
            <v>0</v>
          </cell>
          <cell r="Q92">
            <v>2758.319986248071</v>
          </cell>
          <cell r="R92">
            <v>241.80547910941092</v>
          </cell>
          <cell r="S92">
            <v>10371.274874367027</v>
          </cell>
          <cell r="T92">
            <v>2423.039831339222</v>
          </cell>
          <cell r="U92">
            <v>0</v>
          </cell>
          <cell r="V92">
            <v>0</v>
          </cell>
          <cell r="W92">
            <v>0</v>
          </cell>
          <cell r="X92">
            <v>0</v>
          </cell>
          <cell r="Y92">
            <v>0</v>
          </cell>
          <cell r="Z92">
            <v>0</v>
          </cell>
          <cell r="AA92">
            <v>0</v>
          </cell>
          <cell r="AB92">
            <v>206.84814295073645</v>
          </cell>
          <cell r="AC92">
            <v>0</v>
          </cell>
          <cell r="AD92">
            <v>0</v>
          </cell>
          <cell r="AE92">
            <v>0</v>
          </cell>
          <cell r="AF92">
            <v>0</v>
          </cell>
          <cell r="AG92">
            <v>8012.4262272297074</v>
          </cell>
          <cell r="AH92">
            <v>972.18627186846129</v>
          </cell>
          <cell r="AI92">
            <v>0</v>
          </cell>
          <cell r="AJ92">
            <v>0</v>
          </cell>
          <cell r="AK92">
            <v>0</v>
          </cell>
          <cell r="AL92">
            <v>0</v>
          </cell>
          <cell r="AM92">
            <v>0</v>
          </cell>
          <cell r="AN92">
            <v>0</v>
          </cell>
          <cell r="AO92">
            <v>0</v>
          </cell>
          <cell r="AP92">
            <v>0</v>
          </cell>
          <cell r="AQ92">
            <v>0</v>
          </cell>
          <cell r="AR92">
            <v>24985.900813112636</v>
          </cell>
          <cell r="AS92">
            <v>0</v>
          </cell>
        </row>
        <row r="93">
          <cell r="B93" t="str">
            <v>规划设计（指概念和方案设计）</v>
          </cell>
          <cell r="C93" t="str">
            <v>建筑面积</v>
          </cell>
          <cell r="D93" t="str">
            <v>m2</v>
          </cell>
          <cell r="E93">
            <v>241586.90000000002</v>
          </cell>
          <cell r="F93">
            <v>9</v>
          </cell>
          <cell r="G93">
            <v>2174282.1</v>
          </cell>
          <cell r="I93">
            <v>0.06</v>
          </cell>
          <cell r="J93">
            <v>8.4905660377358494</v>
          </cell>
          <cell r="K93">
            <v>0.50943396226415061</v>
          </cell>
          <cell r="L93">
            <v>2051209.528301887</v>
          </cell>
          <cell r="M93">
            <v>123072.57169811311</v>
          </cell>
          <cell r="N93" t="str">
            <v>规划设计按照9元/㎡</v>
          </cell>
          <cell r="O93" t="str">
            <v>建筑面积</v>
          </cell>
          <cell r="P93">
            <v>0</v>
          </cell>
          <cell r="Q93">
            <v>226443.39622641509</v>
          </cell>
          <cell r="R93">
            <v>19850.943396226416</v>
          </cell>
          <cell r="S93">
            <v>851426.4905660376</v>
          </cell>
          <cell r="T93">
            <v>198918.67924528301</v>
          </cell>
          <cell r="U93">
            <v>0</v>
          </cell>
          <cell r="V93">
            <v>0</v>
          </cell>
          <cell r="W93">
            <v>0</v>
          </cell>
          <cell r="X93">
            <v>0</v>
          </cell>
          <cell r="Y93">
            <v>0</v>
          </cell>
          <cell r="Z93">
            <v>0</v>
          </cell>
          <cell r="AA93">
            <v>0</v>
          </cell>
          <cell r="AB93">
            <v>16981.132075471698</v>
          </cell>
          <cell r="AC93">
            <v>0</v>
          </cell>
          <cell r="AD93">
            <v>0</v>
          </cell>
          <cell r="AE93">
            <v>0</v>
          </cell>
          <cell r="AF93">
            <v>0</v>
          </cell>
          <cell r="AG93">
            <v>657777.56603773579</v>
          </cell>
          <cell r="AH93">
            <v>79811.320754716973</v>
          </cell>
          <cell r="AI93">
            <v>0</v>
          </cell>
          <cell r="AJ93">
            <v>0</v>
          </cell>
          <cell r="AK93">
            <v>0</v>
          </cell>
          <cell r="AL93">
            <v>0</v>
          </cell>
          <cell r="AM93">
            <v>0</v>
          </cell>
          <cell r="AN93">
            <v>0</v>
          </cell>
          <cell r="AO93">
            <v>0</v>
          </cell>
          <cell r="AP93">
            <v>0</v>
          </cell>
          <cell r="AQ93">
            <v>0</v>
          </cell>
          <cell r="AR93">
            <v>2051209.5283018865</v>
          </cell>
          <cell r="AS93">
            <v>0</v>
          </cell>
        </row>
        <row r="94">
          <cell r="B94" t="str">
            <v>施工图设计</v>
          </cell>
          <cell r="C94" t="str">
            <v>建筑面积</v>
          </cell>
          <cell r="D94" t="str">
            <v>m2</v>
          </cell>
          <cell r="E94">
            <v>241586.90000000002</v>
          </cell>
          <cell r="F94">
            <v>35</v>
          </cell>
          <cell r="G94">
            <v>8455541.5</v>
          </cell>
          <cell r="I94">
            <v>0.06</v>
          </cell>
          <cell r="J94">
            <v>33.018867924528301</v>
          </cell>
          <cell r="K94">
            <v>1.9811320754716988</v>
          </cell>
          <cell r="L94">
            <v>7976925.9433962274</v>
          </cell>
          <cell r="M94">
            <v>478615.55660377257</v>
          </cell>
          <cell r="N94" t="str">
            <v>施工图设计按照35元/㎡</v>
          </cell>
          <cell r="O94" t="str">
            <v>建筑面积</v>
          </cell>
          <cell r="P94">
            <v>0</v>
          </cell>
          <cell r="Q94">
            <v>880613.20754716988</v>
          </cell>
          <cell r="R94">
            <v>77198.113207547183</v>
          </cell>
          <cell r="S94">
            <v>3311103.0188679243</v>
          </cell>
          <cell r="T94">
            <v>773572.64150943398</v>
          </cell>
          <cell r="U94">
            <v>0</v>
          </cell>
          <cell r="V94">
            <v>0</v>
          </cell>
          <cell r="W94">
            <v>0</v>
          </cell>
          <cell r="X94">
            <v>0</v>
          </cell>
          <cell r="Y94">
            <v>0</v>
          </cell>
          <cell r="Z94">
            <v>0</v>
          </cell>
          <cell r="AA94">
            <v>0</v>
          </cell>
          <cell r="AB94">
            <v>66037.735849056597</v>
          </cell>
          <cell r="AC94">
            <v>0</v>
          </cell>
          <cell r="AD94">
            <v>0</v>
          </cell>
          <cell r="AE94">
            <v>0</v>
          </cell>
          <cell r="AF94">
            <v>0</v>
          </cell>
          <cell r="AG94">
            <v>2558023.8679245282</v>
          </cell>
          <cell r="AH94">
            <v>310377.35849056602</v>
          </cell>
          <cell r="AI94">
            <v>0</v>
          </cell>
          <cell r="AJ94">
            <v>0</v>
          </cell>
          <cell r="AK94">
            <v>0</v>
          </cell>
          <cell r="AL94">
            <v>0</v>
          </cell>
          <cell r="AM94">
            <v>0</v>
          </cell>
          <cell r="AN94">
            <v>0</v>
          </cell>
          <cell r="AO94">
            <v>0</v>
          </cell>
          <cell r="AP94">
            <v>0</v>
          </cell>
          <cell r="AQ94">
            <v>0</v>
          </cell>
          <cell r="AR94">
            <v>7976925.9433962256</v>
          </cell>
          <cell r="AS94">
            <v>0</v>
          </cell>
        </row>
        <row r="95">
          <cell r="B95" t="str">
            <v>园林景观设计</v>
          </cell>
          <cell r="C95" t="str">
            <v>景观面积</v>
          </cell>
          <cell r="D95" t="str">
            <v>m2</v>
          </cell>
          <cell r="E95">
            <v>110209</v>
          </cell>
          <cell r="F95">
            <v>15</v>
          </cell>
          <cell r="G95">
            <v>1653135</v>
          </cell>
          <cell r="I95">
            <v>0.06</v>
          </cell>
          <cell r="J95">
            <v>14.150943396226415</v>
          </cell>
          <cell r="K95">
            <v>0.84905660377358494</v>
          </cell>
          <cell r="L95">
            <v>1559561.3207547169</v>
          </cell>
          <cell r="M95">
            <v>93573.679245283129</v>
          </cell>
          <cell r="N95" t="str">
            <v>顺茵收费标准：示范区20元/平方
货量区分为高档15元/m2、中档10元/m2、低档6元/m2</v>
          </cell>
          <cell r="O95" t="str">
            <v>建筑面积</v>
          </cell>
          <cell r="P95">
            <v>0</v>
          </cell>
          <cell r="Q95">
            <v>172167.86350803083</v>
          </cell>
          <cell r="R95">
            <v>15092.930816714515</v>
          </cell>
          <cell r="S95">
            <v>647350.65035116021</v>
          </cell>
          <cell r="T95">
            <v>151240.46268612103</v>
          </cell>
          <cell r="U95">
            <v>0</v>
          </cell>
          <cell r="V95">
            <v>0</v>
          </cell>
          <cell r="W95">
            <v>0</v>
          </cell>
          <cell r="X95">
            <v>0</v>
          </cell>
          <cell r="Y95">
            <v>0</v>
          </cell>
          <cell r="Z95">
            <v>0</v>
          </cell>
          <cell r="AA95">
            <v>0</v>
          </cell>
          <cell r="AB95">
            <v>12910.975891115922</v>
          </cell>
          <cell r="AC95">
            <v>0</v>
          </cell>
          <cell r="AD95">
            <v>0</v>
          </cell>
          <cell r="AE95">
            <v>0</v>
          </cell>
          <cell r="AF95">
            <v>0</v>
          </cell>
          <cell r="AG95">
            <v>500116.85081332928</v>
          </cell>
          <cell r="AH95">
            <v>60681.586688244839</v>
          </cell>
          <cell r="AI95">
            <v>0</v>
          </cell>
          <cell r="AJ95">
            <v>0</v>
          </cell>
          <cell r="AK95">
            <v>0</v>
          </cell>
          <cell r="AL95">
            <v>0</v>
          </cell>
          <cell r="AM95">
            <v>0</v>
          </cell>
          <cell r="AN95">
            <v>0</v>
          </cell>
          <cell r="AO95">
            <v>0</v>
          </cell>
          <cell r="AP95">
            <v>0</v>
          </cell>
          <cell r="AQ95">
            <v>0</v>
          </cell>
          <cell r="AR95">
            <v>1559561.3207547166</v>
          </cell>
          <cell r="AS95">
            <v>0</v>
          </cell>
        </row>
        <row r="96">
          <cell r="B96" t="str">
            <v>泛光照明设计</v>
          </cell>
          <cell r="C96" t="str">
            <v>照明面积</v>
          </cell>
          <cell r="D96" t="str">
            <v>m2</v>
          </cell>
          <cell r="E96">
            <v>241586.90000000002</v>
          </cell>
          <cell r="F96">
            <v>1</v>
          </cell>
          <cell r="G96">
            <v>241586.90000000002</v>
          </cell>
          <cell r="I96">
            <v>0.06</v>
          </cell>
          <cell r="J96">
            <v>0.94339622641509424</v>
          </cell>
          <cell r="K96">
            <v>5.6603773584905759E-2</v>
          </cell>
          <cell r="L96">
            <v>227912.16981132075</v>
          </cell>
          <cell r="M96">
            <v>13674.73018867927</v>
          </cell>
          <cell r="N96" t="str">
            <v>按照建筑面积1元/m2考虑</v>
          </cell>
          <cell r="O96" t="str">
            <v>建筑面积</v>
          </cell>
          <cell r="P96">
            <v>0</v>
          </cell>
          <cell r="Q96">
            <v>25160.377358490565</v>
          </cell>
          <cell r="R96">
            <v>2205.6603773584907</v>
          </cell>
          <cell r="S96">
            <v>94602.943396226401</v>
          </cell>
          <cell r="T96">
            <v>22102.07547169811</v>
          </cell>
          <cell r="U96">
            <v>0</v>
          </cell>
          <cell r="V96">
            <v>0</v>
          </cell>
          <cell r="W96">
            <v>0</v>
          </cell>
          <cell r="X96">
            <v>0</v>
          </cell>
          <cell r="Y96">
            <v>0</v>
          </cell>
          <cell r="Z96">
            <v>0</v>
          </cell>
          <cell r="AA96">
            <v>0</v>
          </cell>
          <cell r="AB96">
            <v>1886.7924528301885</v>
          </cell>
          <cell r="AC96">
            <v>0</v>
          </cell>
          <cell r="AD96">
            <v>0</v>
          </cell>
          <cell r="AE96">
            <v>0</v>
          </cell>
          <cell r="AF96">
            <v>0</v>
          </cell>
          <cell r="AG96">
            <v>73086.39622641509</v>
          </cell>
          <cell r="AH96">
            <v>8867.9245283018863</v>
          </cell>
          <cell r="AI96">
            <v>0</v>
          </cell>
          <cell r="AJ96">
            <v>0</v>
          </cell>
          <cell r="AK96">
            <v>0</v>
          </cell>
          <cell r="AL96">
            <v>0</v>
          </cell>
          <cell r="AM96">
            <v>0</v>
          </cell>
          <cell r="AN96">
            <v>0</v>
          </cell>
          <cell r="AO96">
            <v>0</v>
          </cell>
          <cell r="AP96">
            <v>0</v>
          </cell>
          <cell r="AQ96">
            <v>0</v>
          </cell>
          <cell r="AR96">
            <v>227912.16981132072</v>
          </cell>
          <cell r="AS96">
            <v>0</v>
          </cell>
        </row>
        <row r="97">
          <cell r="B97" t="str">
            <v>门窗、幕墙设计</v>
          </cell>
          <cell r="C97" t="str">
            <v>地上建筑面积</v>
          </cell>
          <cell r="D97" t="str">
            <v>m2</v>
          </cell>
          <cell r="E97">
            <v>154715.32</v>
          </cell>
          <cell r="F97">
            <v>1.5</v>
          </cell>
          <cell r="G97">
            <v>232072.98</v>
          </cell>
          <cell r="I97">
            <v>0.06</v>
          </cell>
          <cell r="J97">
            <v>1.4150943396226414</v>
          </cell>
          <cell r="K97">
            <v>8.4905660377358583E-2</v>
          </cell>
          <cell r="L97">
            <v>218936.77358490566</v>
          </cell>
          <cell r="M97">
            <v>13136.206415094348</v>
          </cell>
          <cell r="N97" t="str">
            <v>根据地上总建筑面积暂按1.5元/m2计取</v>
          </cell>
          <cell r="O97" t="str">
            <v>建筑面积</v>
          </cell>
          <cell r="P97">
            <v>0</v>
          </cell>
          <cell r="Q97">
            <v>24169.53796546681</v>
          </cell>
          <cell r="R97">
            <v>2118.7993911984026</v>
          </cell>
          <cell r="S97">
            <v>90877.390250603741</v>
          </cell>
          <cell r="T97">
            <v>21231.674891734139</v>
          </cell>
          <cell r="U97">
            <v>0</v>
          </cell>
          <cell r="V97">
            <v>0</v>
          </cell>
          <cell r="W97">
            <v>0</v>
          </cell>
          <cell r="X97">
            <v>0</v>
          </cell>
          <cell r="Y97">
            <v>0</v>
          </cell>
          <cell r="Z97">
            <v>0</v>
          </cell>
          <cell r="AA97">
            <v>0</v>
          </cell>
          <cell r="AB97">
            <v>1812.4887863117217</v>
          </cell>
          <cell r="AC97">
            <v>0</v>
          </cell>
          <cell r="AD97">
            <v>0</v>
          </cell>
          <cell r="AE97">
            <v>0</v>
          </cell>
          <cell r="AF97">
            <v>0</v>
          </cell>
          <cell r="AG97">
            <v>70208.185003925726</v>
          </cell>
          <cell r="AH97">
            <v>8518.6972956650916</v>
          </cell>
          <cell r="AI97">
            <v>0</v>
          </cell>
          <cell r="AJ97">
            <v>0</v>
          </cell>
          <cell r="AK97">
            <v>0</v>
          </cell>
          <cell r="AL97">
            <v>0</v>
          </cell>
          <cell r="AM97">
            <v>0</v>
          </cell>
          <cell r="AN97">
            <v>0</v>
          </cell>
          <cell r="AO97">
            <v>0</v>
          </cell>
          <cell r="AP97">
            <v>0</v>
          </cell>
          <cell r="AQ97">
            <v>0</v>
          </cell>
          <cell r="AR97">
            <v>218936.77358490566</v>
          </cell>
          <cell r="AS97">
            <v>0</v>
          </cell>
        </row>
        <row r="98">
          <cell r="B98" t="str">
            <v>会所、售楼处及板房装修设计</v>
          </cell>
          <cell r="C98" t="str">
            <v>装修面积</v>
          </cell>
          <cell r="D98" t="str">
            <v>m2</v>
          </cell>
          <cell r="E98">
            <v>0</v>
          </cell>
          <cell r="F98">
            <v>0</v>
          </cell>
          <cell r="G98">
            <v>0</v>
          </cell>
          <cell r="I98">
            <v>0.06</v>
          </cell>
          <cell r="J98">
            <v>0</v>
          </cell>
          <cell r="K98">
            <v>0</v>
          </cell>
          <cell r="L98">
            <v>0</v>
          </cell>
          <cell r="M98">
            <v>0</v>
          </cell>
          <cell r="N98" t="str">
            <v>无此项费用</v>
          </cell>
          <cell r="O98" t="str">
            <v>建筑面积</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B99" t="str">
            <v>室内精装修设计</v>
          </cell>
          <cell r="C99" t="str">
            <v>装修面积</v>
          </cell>
          <cell r="D99" t="str">
            <v>m2</v>
          </cell>
          <cell r="E99">
            <v>0</v>
          </cell>
          <cell r="F99">
            <v>0</v>
          </cell>
          <cell r="G99">
            <v>0</v>
          </cell>
          <cell r="I99">
            <v>0.06</v>
          </cell>
          <cell r="J99">
            <v>0</v>
          </cell>
          <cell r="K99">
            <v>0</v>
          </cell>
          <cell r="L99">
            <v>0</v>
          </cell>
          <cell r="M99">
            <v>0</v>
          </cell>
          <cell r="N99" t="str">
            <v>无此项费用</v>
          </cell>
          <cell r="O99" t="str">
            <v>建筑面积</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B100" t="str">
            <v>人防设计费</v>
          </cell>
          <cell r="C100" t="str">
            <v>人防面积</v>
          </cell>
          <cell r="D100" t="str">
            <v>m2</v>
          </cell>
          <cell r="E100">
            <v>9400</v>
          </cell>
          <cell r="F100">
            <v>0</v>
          </cell>
          <cell r="G100">
            <v>0</v>
          </cell>
          <cell r="I100">
            <v>0.06</v>
          </cell>
          <cell r="J100">
            <v>0</v>
          </cell>
          <cell r="K100">
            <v>0</v>
          </cell>
          <cell r="L100">
            <v>0</v>
          </cell>
          <cell r="M100">
            <v>0</v>
          </cell>
          <cell r="N100" t="str">
            <v>无此项费用</v>
          </cell>
          <cell r="O100" t="str">
            <v>建筑面积</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B101" t="str">
            <v>基坑支护设计费</v>
          </cell>
          <cell r="C101" t="str">
            <v>地下室面积</v>
          </cell>
          <cell r="D101" t="str">
            <v>m2</v>
          </cell>
          <cell r="E101">
            <v>86871.58</v>
          </cell>
          <cell r="F101">
            <v>0</v>
          </cell>
          <cell r="G101">
            <v>0</v>
          </cell>
          <cell r="I101">
            <v>0.06</v>
          </cell>
          <cell r="J101">
            <v>0</v>
          </cell>
          <cell r="K101">
            <v>0</v>
          </cell>
          <cell r="L101">
            <v>0</v>
          </cell>
          <cell r="M101">
            <v>0</v>
          </cell>
          <cell r="N101" t="str">
            <v>无此项费用</v>
          </cell>
          <cell r="O101" t="str">
            <v>建筑面积</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row>
        <row r="102">
          <cell r="B102" t="str">
            <v>制晒赶图费用</v>
          </cell>
          <cell r="C102" t="str">
            <v>建筑面积</v>
          </cell>
          <cell r="D102" t="str">
            <v>m2</v>
          </cell>
          <cell r="E102">
            <v>241586.90000000002</v>
          </cell>
          <cell r="F102">
            <v>0.5</v>
          </cell>
          <cell r="G102">
            <v>120793.45000000001</v>
          </cell>
          <cell r="I102">
            <v>0.06</v>
          </cell>
          <cell r="J102">
            <v>0.47169811320754712</v>
          </cell>
          <cell r="K102">
            <v>2.8301886792452879E-2</v>
          </cell>
          <cell r="L102">
            <v>113956.08490566038</v>
          </cell>
          <cell r="M102">
            <v>6837.3650943396351</v>
          </cell>
          <cell r="N102" t="str">
            <v>无此项费用</v>
          </cell>
          <cell r="O102" t="str">
            <v>建筑面积</v>
          </cell>
          <cell r="P102">
            <v>0</v>
          </cell>
          <cell r="Q102">
            <v>12580.188679245282</v>
          </cell>
          <cell r="R102">
            <v>1102.8301886792453</v>
          </cell>
          <cell r="S102">
            <v>47301.471698113201</v>
          </cell>
          <cell r="T102">
            <v>11051.037735849055</v>
          </cell>
          <cell r="U102">
            <v>0</v>
          </cell>
          <cell r="V102">
            <v>0</v>
          </cell>
          <cell r="W102">
            <v>0</v>
          </cell>
          <cell r="X102">
            <v>0</v>
          </cell>
          <cell r="Y102">
            <v>0</v>
          </cell>
          <cell r="Z102">
            <v>0</v>
          </cell>
          <cell r="AA102">
            <v>0</v>
          </cell>
          <cell r="AB102">
            <v>943.39622641509425</v>
          </cell>
          <cell r="AC102">
            <v>0</v>
          </cell>
          <cell r="AD102">
            <v>0</v>
          </cell>
          <cell r="AE102">
            <v>0</v>
          </cell>
          <cell r="AF102">
            <v>0</v>
          </cell>
          <cell r="AG102">
            <v>36543.198113207545</v>
          </cell>
          <cell r="AH102">
            <v>4433.9622641509432</v>
          </cell>
          <cell r="AI102">
            <v>0</v>
          </cell>
          <cell r="AJ102">
            <v>0</v>
          </cell>
          <cell r="AK102">
            <v>0</v>
          </cell>
          <cell r="AL102">
            <v>0</v>
          </cell>
          <cell r="AM102">
            <v>0</v>
          </cell>
          <cell r="AN102">
            <v>0</v>
          </cell>
          <cell r="AO102">
            <v>0</v>
          </cell>
          <cell r="AP102">
            <v>0</v>
          </cell>
          <cell r="AQ102">
            <v>0</v>
          </cell>
          <cell r="AR102">
            <v>113956.08490566036</v>
          </cell>
          <cell r="AS102">
            <v>0</v>
          </cell>
        </row>
        <row r="103">
          <cell r="B103" t="str">
            <v>专家顾问费</v>
          </cell>
          <cell r="C103" t="str">
            <v>建筑面积</v>
          </cell>
          <cell r="D103" t="str">
            <v>m2</v>
          </cell>
          <cell r="E103">
            <v>241586.90000000002</v>
          </cell>
          <cell r="F103">
            <v>0.62089459320848928</v>
          </cell>
          <cell r="G103">
            <v>150000</v>
          </cell>
          <cell r="I103">
            <v>0.06</v>
          </cell>
          <cell r="J103">
            <v>0.58574961623442379</v>
          </cell>
          <cell r="K103">
            <v>3.5144976974065489E-2</v>
          </cell>
          <cell r="L103">
            <v>141509.43396226413</v>
          </cell>
          <cell r="M103">
            <v>8490.5660377358727</v>
          </cell>
          <cell r="N103" t="str">
            <v>按照15万预留</v>
          </cell>
          <cell r="O103" t="str">
            <v>建筑面积</v>
          </cell>
          <cell r="P103">
            <v>0</v>
          </cell>
          <cell r="Q103">
            <v>15621.942264972084</v>
          </cell>
          <cell r="R103">
            <v>1369.4826027560828</v>
          </cell>
          <cell r="S103">
            <v>58738.456056325726</v>
          </cell>
          <cell r="T103">
            <v>13723.059159063327</v>
          </cell>
          <cell r="U103">
            <v>0</v>
          </cell>
          <cell r="V103">
            <v>0</v>
          </cell>
          <cell r="W103">
            <v>0</v>
          </cell>
          <cell r="X103">
            <v>0</v>
          </cell>
          <cell r="Y103">
            <v>0</v>
          </cell>
          <cell r="Z103">
            <v>0</v>
          </cell>
          <cell r="AA103">
            <v>0</v>
          </cell>
          <cell r="AB103">
            <v>1171.4992324688476</v>
          </cell>
          <cell r="AC103">
            <v>0</v>
          </cell>
          <cell r="AD103">
            <v>0</v>
          </cell>
          <cell r="AE103">
            <v>0</v>
          </cell>
          <cell r="AF103">
            <v>0</v>
          </cell>
          <cell r="AG103">
            <v>45378.948254074458</v>
          </cell>
          <cell r="AH103">
            <v>5506.0463926035836</v>
          </cell>
          <cell r="AI103">
            <v>0</v>
          </cell>
          <cell r="AJ103">
            <v>0</v>
          </cell>
          <cell r="AK103">
            <v>0</v>
          </cell>
          <cell r="AL103">
            <v>0</v>
          </cell>
          <cell r="AM103">
            <v>0</v>
          </cell>
          <cell r="AN103">
            <v>0</v>
          </cell>
          <cell r="AO103">
            <v>0</v>
          </cell>
          <cell r="AP103">
            <v>0</v>
          </cell>
          <cell r="AQ103">
            <v>0</v>
          </cell>
          <cell r="AR103">
            <v>141509.4339622641</v>
          </cell>
          <cell r="AS103">
            <v>0</v>
          </cell>
        </row>
        <row r="104">
          <cell r="B104" t="str">
            <v>其他设计费</v>
          </cell>
          <cell r="C104" t="str">
            <v>建筑面积</v>
          </cell>
          <cell r="D104" t="str">
            <v>m2</v>
          </cell>
          <cell r="E104">
            <v>241586.90000000002</v>
          </cell>
          <cell r="F104">
            <v>3</v>
          </cell>
          <cell r="G104">
            <v>724760.70000000007</v>
          </cell>
          <cell r="I104">
            <v>0.06</v>
          </cell>
          <cell r="J104">
            <v>2.8301886792452828</v>
          </cell>
          <cell r="K104">
            <v>0.16981132075471717</v>
          </cell>
          <cell r="L104">
            <v>683736.50943396229</v>
          </cell>
          <cell r="M104">
            <v>41024.190566037782</v>
          </cell>
          <cell r="N104" t="str">
            <v>按建筑面积6元/㎡进行预留</v>
          </cell>
          <cell r="O104" t="str">
            <v>建筑面积</v>
          </cell>
          <cell r="P104">
            <v>0</v>
          </cell>
          <cell r="Q104">
            <v>75481.132075471702</v>
          </cell>
          <cell r="R104">
            <v>6616.9811320754716</v>
          </cell>
          <cell r="S104">
            <v>283808.83018867922</v>
          </cell>
          <cell r="T104">
            <v>66306.226415094337</v>
          </cell>
          <cell r="U104">
            <v>0</v>
          </cell>
          <cell r="V104">
            <v>0</v>
          </cell>
          <cell r="W104">
            <v>0</v>
          </cell>
          <cell r="X104">
            <v>0</v>
          </cell>
          <cell r="Y104">
            <v>0</v>
          </cell>
          <cell r="Z104">
            <v>0</v>
          </cell>
          <cell r="AA104">
            <v>0</v>
          </cell>
          <cell r="AB104">
            <v>5660.3773584905657</v>
          </cell>
          <cell r="AC104">
            <v>0</v>
          </cell>
          <cell r="AD104">
            <v>0</v>
          </cell>
          <cell r="AE104">
            <v>0</v>
          </cell>
          <cell r="AF104">
            <v>0</v>
          </cell>
          <cell r="AG104">
            <v>219259.18867924527</v>
          </cell>
          <cell r="AH104">
            <v>26603.773584905659</v>
          </cell>
          <cell r="AI104">
            <v>0</v>
          </cell>
          <cell r="AJ104">
            <v>0</v>
          </cell>
          <cell r="AK104">
            <v>0</v>
          </cell>
          <cell r="AL104">
            <v>0</v>
          </cell>
          <cell r="AM104">
            <v>0</v>
          </cell>
          <cell r="AN104">
            <v>0</v>
          </cell>
          <cell r="AO104">
            <v>0</v>
          </cell>
          <cell r="AP104">
            <v>0</v>
          </cell>
          <cell r="AQ104">
            <v>0</v>
          </cell>
          <cell r="AR104">
            <v>683736.50943396217</v>
          </cell>
          <cell r="AS104">
            <v>0</v>
          </cell>
        </row>
        <row r="105">
          <cell r="A105" t="str">
            <v>02.02.06</v>
          </cell>
          <cell r="B105" t="str">
            <v>独立样板房和独立售楼部（含建造和装修）</v>
          </cell>
          <cell r="C105" t="str">
            <v>临建建筑面积</v>
          </cell>
          <cell r="D105" t="str">
            <v>m2</v>
          </cell>
          <cell r="E105">
            <v>5601.44</v>
          </cell>
          <cell r="F105">
            <v>0</v>
          </cell>
          <cell r="H105">
            <v>0</v>
          </cell>
          <cell r="I105">
            <v>0.10999999999999999</v>
          </cell>
          <cell r="J105">
            <v>0</v>
          </cell>
          <cell r="K105">
            <v>0</v>
          </cell>
          <cell r="L105">
            <v>0</v>
          </cell>
          <cell r="M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R105">
            <v>0</v>
          </cell>
          <cell r="AS105">
            <v>0</v>
          </cell>
        </row>
        <row r="106">
          <cell r="A106" t="str">
            <v>03</v>
          </cell>
          <cell r="B106" t="str">
            <v>主体建筑安装工程费</v>
          </cell>
          <cell r="C106" t="str">
            <v>建筑面积</v>
          </cell>
          <cell r="D106" t="str">
            <v>m2</v>
          </cell>
          <cell r="E106">
            <v>241586.90000000002</v>
          </cell>
          <cell r="F106">
            <v>2902.3875412387879</v>
          </cell>
          <cell r="G106">
            <v>701178808.68650103</v>
          </cell>
          <cell r="I106">
            <v>0.10999999999999946</v>
          </cell>
          <cell r="J106">
            <v>2614.7635506655761</v>
          </cell>
          <cell r="K106">
            <v>287.62399057321181</v>
          </cell>
          <cell r="L106">
            <v>631692620.43828952</v>
          </cell>
          <cell r="M106">
            <v>69486188.248211503</v>
          </cell>
          <cell r="P106">
            <v>0</v>
          </cell>
          <cell r="Q106">
            <v>88740783.916408107</v>
          </cell>
          <cell r="R106">
            <v>6771828.4805204757</v>
          </cell>
          <cell r="S106">
            <v>249622721.88623577</v>
          </cell>
          <cell r="T106">
            <v>64197629.134524435</v>
          </cell>
          <cell r="U106">
            <v>0</v>
          </cell>
          <cell r="V106">
            <v>0</v>
          </cell>
          <cell r="W106">
            <v>0</v>
          </cell>
          <cell r="X106">
            <v>0</v>
          </cell>
          <cell r="Y106">
            <v>0</v>
          </cell>
          <cell r="Z106">
            <v>0</v>
          </cell>
          <cell r="AA106">
            <v>0</v>
          </cell>
          <cell r="AB106">
            <v>3140482.6588484515</v>
          </cell>
          <cell r="AC106">
            <v>0</v>
          </cell>
          <cell r="AD106">
            <v>0</v>
          </cell>
          <cell r="AE106">
            <v>0</v>
          </cell>
          <cell r="AF106">
            <v>0</v>
          </cell>
          <cell r="AG106">
            <v>188696018.29759705</v>
          </cell>
          <cell r="AH106">
            <v>30523156.064155292</v>
          </cell>
          <cell r="AI106">
            <v>0</v>
          </cell>
          <cell r="AJ106">
            <v>0</v>
          </cell>
          <cell r="AK106">
            <v>0</v>
          </cell>
          <cell r="AL106">
            <v>0</v>
          </cell>
          <cell r="AM106">
            <v>0</v>
          </cell>
          <cell r="AN106">
            <v>0</v>
          </cell>
          <cell r="AO106">
            <v>0</v>
          </cell>
          <cell r="AP106">
            <v>0</v>
          </cell>
          <cell r="AQ106">
            <v>0</v>
          </cell>
          <cell r="AR106">
            <v>631692620.43828964</v>
          </cell>
          <cell r="AS106">
            <v>0</v>
          </cell>
        </row>
        <row r="107">
          <cell r="A107" t="str">
            <v>03.01</v>
          </cell>
          <cell r="B107" t="str">
            <v>主体建筑工程费</v>
          </cell>
          <cell r="C107" t="str">
            <v>建筑面积</v>
          </cell>
          <cell r="D107" t="str">
            <v>m2</v>
          </cell>
          <cell r="E107">
            <v>241586.90000000002</v>
          </cell>
          <cell r="F107">
            <v>2195.0363588595287</v>
          </cell>
          <cell r="G107">
            <v>530292029.32416117</v>
          </cell>
          <cell r="I107">
            <v>0.10999999999999958</v>
          </cell>
          <cell r="J107">
            <v>1977.5102332067836</v>
          </cell>
          <cell r="K107">
            <v>217.52612565274512</v>
          </cell>
          <cell r="L107">
            <v>477740566.95870394</v>
          </cell>
          <cell r="M107">
            <v>52551462.365457237</v>
          </cell>
          <cell r="P107">
            <v>0</v>
          </cell>
          <cell r="Q107">
            <v>59555082.255258612</v>
          </cell>
          <cell r="R107">
            <v>4224418.8108851947</v>
          </cell>
          <cell r="S107">
            <v>170733172.49922359</v>
          </cell>
          <cell r="T107">
            <v>45200606.646723993</v>
          </cell>
          <cell r="U107">
            <v>0</v>
          </cell>
          <cell r="V107">
            <v>0</v>
          </cell>
          <cell r="W107">
            <v>0</v>
          </cell>
          <cell r="X107">
            <v>0</v>
          </cell>
          <cell r="Y107">
            <v>0</v>
          </cell>
          <cell r="Z107">
            <v>0</v>
          </cell>
          <cell r="AA107">
            <v>0</v>
          </cell>
          <cell r="AB107">
            <v>2883504.5045045046</v>
          </cell>
          <cell r="AC107">
            <v>0</v>
          </cell>
          <cell r="AD107">
            <v>0</v>
          </cell>
          <cell r="AE107">
            <v>0</v>
          </cell>
          <cell r="AF107">
            <v>0</v>
          </cell>
          <cell r="AG107">
            <v>167225720.80066666</v>
          </cell>
          <cell r="AH107">
            <v>27918061.441441447</v>
          </cell>
          <cell r="AI107">
            <v>0</v>
          </cell>
          <cell r="AJ107">
            <v>0</v>
          </cell>
          <cell r="AK107">
            <v>0</v>
          </cell>
          <cell r="AL107">
            <v>0</v>
          </cell>
          <cell r="AM107">
            <v>0</v>
          </cell>
          <cell r="AN107">
            <v>0</v>
          </cell>
          <cell r="AO107">
            <v>0</v>
          </cell>
          <cell r="AP107">
            <v>0</v>
          </cell>
          <cell r="AQ107">
            <v>0</v>
          </cell>
          <cell r="AR107">
            <v>477740566.95870399</v>
          </cell>
          <cell r="AS107">
            <v>0</v>
          </cell>
        </row>
        <row r="108">
          <cell r="A108" t="str">
            <v>03.01.01</v>
          </cell>
          <cell r="B108" t="str">
            <v>基础工程费</v>
          </cell>
          <cell r="C108" t="str">
            <v>建筑面积</v>
          </cell>
          <cell r="D108" t="str">
            <v>m2</v>
          </cell>
          <cell r="E108">
            <v>241586.90000000002</v>
          </cell>
          <cell r="F108">
            <v>131.88870080308249</v>
          </cell>
          <cell r="G108">
            <v>31862582.372044209</v>
          </cell>
          <cell r="H108">
            <v>0</v>
          </cell>
          <cell r="I108">
            <v>0.10999999999999982</v>
          </cell>
          <cell r="J108">
            <v>118.8186493721464</v>
          </cell>
          <cell r="K108">
            <v>13.07005143093609</v>
          </cell>
          <cell r="L108">
            <v>28705029.164003797</v>
          </cell>
          <cell r="M108">
            <v>3157553.2080404125</v>
          </cell>
          <cell r="P108">
            <v>0</v>
          </cell>
          <cell r="Q108">
            <v>2435479.8596190824</v>
          </cell>
          <cell r="R108">
            <v>215610.31499732297</v>
          </cell>
          <cell r="S108">
            <v>8763943.3802522533</v>
          </cell>
          <cell r="T108">
            <v>2047519.1475675679</v>
          </cell>
          <cell r="U108">
            <v>0</v>
          </cell>
          <cell r="V108">
            <v>0</v>
          </cell>
          <cell r="W108">
            <v>0</v>
          </cell>
          <cell r="X108">
            <v>0</v>
          </cell>
          <cell r="Y108">
            <v>0</v>
          </cell>
          <cell r="Z108">
            <v>0</v>
          </cell>
          <cell r="AA108">
            <v>0</v>
          </cell>
          <cell r="AB108">
            <v>190963.96396396396</v>
          </cell>
          <cell r="AC108">
            <v>0</v>
          </cell>
          <cell r="AD108">
            <v>0</v>
          </cell>
          <cell r="AE108">
            <v>0</v>
          </cell>
          <cell r="AF108">
            <v>0</v>
          </cell>
          <cell r="AG108">
            <v>13288993.398504509</v>
          </cell>
          <cell r="AH108">
            <v>1762519.0990990996</v>
          </cell>
          <cell r="AI108">
            <v>0</v>
          </cell>
          <cell r="AJ108">
            <v>0</v>
          </cell>
          <cell r="AK108">
            <v>0</v>
          </cell>
          <cell r="AL108">
            <v>0</v>
          </cell>
          <cell r="AM108">
            <v>0</v>
          </cell>
          <cell r="AN108">
            <v>0</v>
          </cell>
          <cell r="AO108">
            <v>0</v>
          </cell>
          <cell r="AP108">
            <v>0</v>
          </cell>
          <cell r="AQ108">
            <v>0</v>
          </cell>
          <cell r="AR108">
            <v>28705029.164003797</v>
          </cell>
          <cell r="AS108">
            <v>0</v>
          </cell>
        </row>
        <row r="109">
          <cell r="B109" t="str">
            <v>桩基础</v>
          </cell>
          <cell r="C109" t="str">
            <v>建筑面积</v>
          </cell>
          <cell r="G109">
            <v>31202582.372044209</v>
          </cell>
          <cell r="H109">
            <v>0</v>
          </cell>
          <cell r="I109">
            <v>0.10999999999999999</v>
          </cell>
          <cell r="J109">
            <v>0</v>
          </cell>
          <cell r="K109">
            <v>0</v>
          </cell>
          <cell r="L109">
            <v>28110434.569409203</v>
          </cell>
          <cell r="M109">
            <v>3092147.8026350066</v>
          </cell>
          <cell r="P109">
            <v>0</v>
          </cell>
          <cell r="Q109">
            <v>2435479.8596190824</v>
          </cell>
          <cell r="R109">
            <v>215610.31499732297</v>
          </cell>
          <cell r="S109">
            <v>8763943.3802522533</v>
          </cell>
          <cell r="T109">
            <v>2047519.1475675679</v>
          </cell>
          <cell r="U109">
            <v>0</v>
          </cell>
          <cell r="V109">
            <v>0</v>
          </cell>
          <cell r="W109">
            <v>0</v>
          </cell>
          <cell r="X109">
            <v>0</v>
          </cell>
          <cell r="Y109">
            <v>0</v>
          </cell>
          <cell r="Z109">
            <v>0</v>
          </cell>
          <cell r="AA109">
            <v>0</v>
          </cell>
          <cell r="AB109">
            <v>190963.96396396396</v>
          </cell>
          <cell r="AC109">
            <v>0</v>
          </cell>
          <cell r="AD109">
            <v>0</v>
          </cell>
          <cell r="AE109">
            <v>0</v>
          </cell>
          <cell r="AF109">
            <v>0</v>
          </cell>
          <cell r="AG109">
            <v>12892597.002108112</v>
          </cell>
          <cell r="AH109">
            <v>1564320.9009009013</v>
          </cell>
          <cell r="AI109">
            <v>0</v>
          </cell>
          <cell r="AJ109">
            <v>0</v>
          </cell>
          <cell r="AK109">
            <v>0</v>
          </cell>
          <cell r="AL109">
            <v>0</v>
          </cell>
          <cell r="AM109">
            <v>0</v>
          </cell>
          <cell r="AN109">
            <v>0</v>
          </cell>
          <cell r="AO109">
            <v>0</v>
          </cell>
          <cell r="AP109">
            <v>0</v>
          </cell>
          <cell r="AQ109">
            <v>0</v>
          </cell>
          <cell r="AR109">
            <v>28110434.569409203</v>
          </cell>
          <cell r="AS109">
            <v>0</v>
          </cell>
        </row>
        <row r="110">
          <cell r="B110">
            <v>100</v>
          </cell>
          <cell r="C110" t="str">
            <v>建筑面积</v>
          </cell>
          <cell r="D110" t="str">
            <v>m2</v>
          </cell>
          <cell r="E110">
            <v>0</v>
          </cell>
          <cell r="F110">
            <v>0</v>
          </cell>
          <cell r="G110">
            <v>0</v>
          </cell>
          <cell r="H110">
            <v>0</v>
          </cell>
          <cell r="I110">
            <v>0.10999999999999999</v>
          </cell>
          <cell r="J110">
            <v>0</v>
          </cell>
          <cell r="K110">
            <v>0</v>
          </cell>
          <cell r="L110">
            <v>0</v>
          </cell>
          <cell r="M110">
            <v>0</v>
          </cell>
          <cell r="P110">
            <v>0</v>
          </cell>
          <cell r="Q110">
            <v>0</v>
          </cell>
          <cell r="R110">
            <v>0</v>
          </cell>
          <cell r="S110">
            <v>0</v>
          </cell>
          <cell r="T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1">
          <cell r="B111">
            <v>125</v>
          </cell>
          <cell r="C111" t="str">
            <v>建筑面积</v>
          </cell>
          <cell r="D111" t="str">
            <v>m2</v>
          </cell>
          <cell r="E111">
            <v>26670</v>
          </cell>
          <cell r="F111">
            <v>101.364178634315</v>
          </cell>
          <cell r="G111">
            <v>2703382.6441771807</v>
          </cell>
          <cell r="H111">
            <v>0</v>
          </cell>
          <cell r="I111">
            <v>0.10999999999999999</v>
          </cell>
          <cell r="J111">
            <v>91.319079850734241</v>
          </cell>
          <cell r="K111">
            <v>10.045098783580755</v>
          </cell>
          <cell r="L111">
            <v>2435479.8596190824</v>
          </cell>
          <cell r="M111">
            <v>267902.7845580983</v>
          </cell>
          <cell r="P111">
            <v>0</v>
          </cell>
          <cell r="Q111">
            <v>2435479.8596190824</v>
          </cell>
          <cell r="R111">
            <v>0</v>
          </cell>
          <cell r="S111">
            <v>0</v>
          </cell>
          <cell r="T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2435479.8596190824</v>
          </cell>
          <cell r="AS111">
            <v>0</v>
          </cell>
        </row>
        <row r="112">
          <cell r="B112">
            <v>150</v>
          </cell>
          <cell r="C112" t="str">
            <v>建筑面积</v>
          </cell>
          <cell r="D112" t="str">
            <v>m2</v>
          </cell>
          <cell r="E112">
            <v>2338</v>
          </cell>
          <cell r="F112">
            <v>102.364178634315</v>
          </cell>
          <cell r="G112">
            <v>239327.44964702846</v>
          </cell>
          <cell r="H112">
            <v>0</v>
          </cell>
          <cell r="I112">
            <v>0.10999999999999999</v>
          </cell>
          <cell r="J112">
            <v>92.219980751635148</v>
          </cell>
          <cell r="K112">
            <v>10.144197882679848</v>
          </cell>
          <cell r="L112">
            <v>215610.31499732297</v>
          </cell>
          <cell r="M112">
            <v>23717.134649705491</v>
          </cell>
          <cell r="P112">
            <v>0</v>
          </cell>
          <cell r="Q112">
            <v>0</v>
          </cell>
          <cell r="R112">
            <v>215610.31499732297</v>
          </cell>
          <cell r="S112">
            <v>0</v>
          </cell>
          <cell r="T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215610.31499732297</v>
          </cell>
          <cell r="AS112">
            <v>0</v>
          </cell>
        </row>
        <row r="113">
          <cell r="B113" t="str">
            <v>1T4(30F)</v>
          </cell>
          <cell r="C113" t="str">
            <v>建筑面积</v>
          </cell>
          <cell r="D113" t="str">
            <v>m2</v>
          </cell>
          <cell r="E113">
            <v>100279.12</v>
          </cell>
          <cell r="F113">
            <v>97.009</v>
          </cell>
          <cell r="G113">
            <v>9727977.1520799994</v>
          </cell>
          <cell r="H113">
            <v>0</v>
          </cell>
          <cell r="I113">
            <v>0.10999999999999999</v>
          </cell>
          <cell r="J113">
            <v>87.39549549549551</v>
          </cell>
          <cell r="K113">
            <v>9.6135045045044905</v>
          </cell>
          <cell r="L113">
            <v>8763943.3802522533</v>
          </cell>
          <cell r="M113">
            <v>964033.77182774618</v>
          </cell>
          <cell r="P113">
            <v>0</v>
          </cell>
          <cell r="Q113">
            <v>0</v>
          </cell>
          <cell r="R113">
            <v>0</v>
          </cell>
          <cell r="S113">
            <v>8763943.3802522533</v>
          </cell>
          <cell r="T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8763943.3802522533</v>
          </cell>
          <cell r="AS113">
            <v>0</v>
          </cell>
        </row>
        <row r="114">
          <cell r="B114" t="str">
            <v>1T3(30F)</v>
          </cell>
          <cell r="C114" t="str">
            <v>建筑面积</v>
          </cell>
          <cell r="D114" t="str">
            <v>m2</v>
          </cell>
          <cell r="E114">
            <v>23428.2</v>
          </cell>
          <cell r="F114">
            <v>97.009</v>
          </cell>
          <cell r="G114">
            <v>2272746.2538000001</v>
          </cell>
          <cell r="H114">
            <v>0</v>
          </cell>
          <cell r="I114">
            <v>0.10999999999999999</v>
          </cell>
          <cell r="J114">
            <v>87.39549549549551</v>
          </cell>
          <cell r="K114">
            <v>9.6135045045044905</v>
          </cell>
          <cell r="L114">
            <v>2047519.1475675679</v>
          </cell>
          <cell r="M114">
            <v>225227.10623243218</v>
          </cell>
          <cell r="P114">
            <v>0</v>
          </cell>
          <cell r="Q114">
            <v>0</v>
          </cell>
          <cell r="R114">
            <v>0</v>
          </cell>
          <cell r="S114">
            <v>0</v>
          </cell>
          <cell r="T114">
            <v>2047519.1475675679</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2047519.1475675679</v>
          </cell>
          <cell r="AS114">
            <v>0</v>
          </cell>
        </row>
        <row r="115">
          <cell r="B115" t="str">
            <v>LOFT(31F)</v>
          </cell>
          <cell r="C115" t="str">
            <v>建筑面积</v>
          </cell>
          <cell r="D115" t="str">
            <v>m2</v>
          </cell>
          <cell r="E115">
            <v>0</v>
          </cell>
          <cell r="F115">
            <v>0</v>
          </cell>
          <cell r="G115">
            <v>0</v>
          </cell>
          <cell r="H115">
            <v>0</v>
          </cell>
          <cell r="I115">
            <v>0.10999999999999999</v>
          </cell>
          <cell r="J115">
            <v>0</v>
          </cell>
          <cell r="K115">
            <v>0</v>
          </cell>
          <cell r="L115">
            <v>0</v>
          </cell>
          <cell r="M115">
            <v>0</v>
          </cell>
          <cell r="P115">
            <v>0</v>
          </cell>
          <cell r="Q115">
            <v>0</v>
          </cell>
          <cell r="R115">
            <v>0</v>
          </cell>
          <cell r="S115">
            <v>0</v>
          </cell>
          <cell r="T115">
            <v>0</v>
          </cell>
          <cell r="U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B116" t="str">
            <v>1T2(31F)</v>
          </cell>
          <cell r="C116" t="str">
            <v>建筑面积</v>
          </cell>
          <cell r="D116" t="str">
            <v>m2</v>
          </cell>
          <cell r="E116">
            <v>0</v>
          </cell>
          <cell r="F116">
            <v>0</v>
          </cell>
          <cell r="G116">
            <v>0</v>
          </cell>
          <cell r="H116">
            <v>0</v>
          </cell>
          <cell r="I116">
            <v>0.10999999999999999</v>
          </cell>
          <cell r="J116">
            <v>0</v>
          </cell>
          <cell r="K116">
            <v>0</v>
          </cell>
          <cell r="L116">
            <v>0</v>
          </cell>
          <cell r="M116">
            <v>0</v>
          </cell>
          <cell r="O116" t="str">
            <v>*</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B117" t="str">
            <v>1T8(32F)</v>
          </cell>
          <cell r="C117" t="str">
            <v>建筑面积</v>
          </cell>
          <cell r="D117" t="str">
            <v>m2</v>
          </cell>
          <cell r="E117">
            <v>0</v>
          </cell>
          <cell r="F117">
            <v>0</v>
          </cell>
          <cell r="G117">
            <v>0</v>
          </cell>
          <cell r="H117">
            <v>0</v>
          </cell>
          <cell r="I117">
            <v>0.10999999999999999</v>
          </cell>
          <cell r="J117">
            <v>0</v>
          </cell>
          <cell r="K117">
            <v>0</v>
          </cell>
          <cell r="L117">
            <v>0</v>
          </cell>
          <cell r="M117">
            <v>0</v>
          </cell>
          <cell r="O117" t="str">
            <v>*</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B118" t="str">
            <v>中高层洋房</v>
          </cell>
          <cell r="C118" t="str">
            <v>建筑面积</v>
          </cell>
          <cell r="D118" t="str">
            <v>m2</v>
          </cell>
          <cell r="E118">
            <v>0</v>
          </cell>
          <cell r="F118">
            <v>0</v>
          </cell>
          <cell r="G118">
            <v>0</v>
          </cell>
          <cell r="H118">
            <v>0</v>
          </cell>
          <cell r="I118">
            <v>0.10999999999999999</v>
          </cell>
          <cell r="J118">
            <v>0</v>
          </cell>
          <cell r="K118">
            <v>0</v>
          </cell>
          <cell r="L118">
            <v>0</v>
          </cell>
          <cell r="M118">
            <v>0</v>
          </cell>
          <cell r="O118" t="str">
            <v>*</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19">
          <cell r="B119" t="str">
            <v>115高层洋房</v>
          </cell>
          <cell r="C119" t="str">
            <v>建筑面积</v>
          </cell>
          <cell r="D119" t="str">
            <v>m2</v>
          </cell>
          <cell r="E119">
            <v>0</v>
          </cell>
          <cell r="F119">
            <v>0</v>
          </cell>
          <cell r="G119">
            <v>0</v>
          </cell>
          <cell r="H119">
            <v>0</v>
          </cell>
          <cell r="I119">
            <v>0.10999999999999999</v>
          </cell>
          <cell r="J119">
            <v>0</v>
          </cell>
          <cell r="K119">
            <v>0</v>
          </cell>
          <cell r="L119">
            <v>0</v>
          </cell>
          <cell r="M119">
            <v>0</v>
          </cell>
          <cell r="N119" t="str">
            <v>桩型为管桩，桩径为1000mm、1200mm、1400mm，桩长按现场勘探预测约18米，其中入岩2.5米，浮浆按0.8米，单价测算约286元/m，数量预计1191条；测算的综合单方为224.03元/m2</v>
          </cell>
          <cell r="O119" t="str">
            <v>*</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row>
        <row r="120">
          <cell r="B120" t="str">
            <v>超高层洋房</v>
          </cell>
          <cell r="C120" t="str">
            <v>建筑面积</v>
          </cell>
          <cell r="D120" t="str">
            <v>m2</v>
          </cell>
          <cell r="E120">
            <v>0</v>
          </cell>
          <cell r="F120">
            <v>0</v>
          </cell>
          <cell r="G120">
            <v>0</v>
          </cell>
          <cell r="H120">
            <v>0</v>
          </cell>
          <cell r="I120">
            <v>0.10999999999999999</v>
          </cell>
          <cell r="J120">
            <v>0</v>
          </cell>
          <cell r="K120">
            <v>0</v>
          </cell>
          <cell r="L120">
            <v>0</v>
          </cell>
          <cell r="M120">
            <v>0</v>
          </cell>
          <cell r="O120" t="str">
            <v>*</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1">
          <cell r="B121" t="str">
            <v>公寓</v>
          </cell>
          <cell r="C121" t="str">
            <v>建筑面积</v>
          </cell>
          <cell r="D121" t="str">
            <v>m2</v>
          </cell>
          <cell r="E121">
            <v>0</v>
          </cell>
          <cell r="F121">
            <v>0</v>
          </cell>
          <cell r="G121">
            <v>0</v>
          </cell>
          <cell r="H121">
            <v>0</v>
          </cell>
          <cell r="I121">
            <v>0.10999999999999999</v>
          </cell>
          <cell r="J121">
            <v>0</v>
          </cell>
          <cell r="K121">
            <v>0</v>
          </cell>
          <cell r="L121">
            <v>0</v>
          </cell>
          <cell r="M121">
            <v>0</v>
          </cell>
          <cell r="O121" t="str">
            <v>*</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row>
        <row r="122">
          <cell r="B122" t="str">
            <v>底商</v>
          </cell>
          <cell r="C122" t="str">
            <v>建筑面积</v>
          </cell>
          <cell r="D122" t="str">
            <v>m2</v>
          </cell>
          <cell r="E122">
            <v>2000</v>
          </cell>
          <cell r="F122">
            <v>105.985</v>
          </cell>
          <cell r="G122">
            <v>211970</v>
          </cell>
          <cell r="H122">
            <v>0</v>
          </cell>
          <cell r="I122">
            <v>0.10999999999999999</v>
          </cell>
          <cell r="J122">
            <v>95.481981981981988</v>
          </cell>
          <cell r="K122">
            <v>10.503018018018011</v>
          </cell>
          <cell r="L122">
            <v>190963.96396396396</v>
          </cell>
          <cell r="M122">
            <v>21006.036036036036</v>
          </cell>
          <cell r="O122" t="str">
            <v>*</v>
          </cell>
          <cell r="P122">
            <v>0</v>
          </cell>
          <cell r="Q122">
            <v>0</v>
          </cell>
          <cell r="R122">
            <v>0</v>
          </cell>
          <cell r="S122">
            <v>0</v>
          </cell>
          <cell r="T122">
            <v>0</v>
          </cell>
          <cell r="U122">
            <v>0</v>
          </cell>
          <cell r="V122">
            <v>0</v>
          </cell>
          <cell r="W122">
            <v>0</v>
          </cell>
          <cell r="X122">
            <v>0</v>
          </cell>
          <cell r="Y122">
            <v>0</v>
          </cell>
          <cell r="Z122">
            <v>0</v>
          </cell>
          <cell r="AA122">
            <v>0</v>
          </cell>
          <cell r="AB122">
            <v>190963.96396396396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190963.96396396396</v>
          </cell>
          <cell r="AS122">
            <v>0</v>
          </cell>
        </row>
        <row r="123">
          <cell r="B123" t="str">
            <v>商业街</v>
          </cell>
          <cell r="C123" t="str">
            <v>建筑面积</v>
          </cell>
          <cell r="D123" t="str">
            <v>m2</v>
          </cell>
          <cell r="E123">
            <v>0</v>
          </cell>
          <cell r="F123">
            <v>0</v>
          </cell>
          <cell r="G123">
            <v>0</v>
          </cell>
          <cell r="H123">
            <v>0</v>
          </cell>
          <cell r="I123">
            <v>0.10999999999999999</v>
          </cell>
          <cell r="J123">
            <v>0</v>
          </cell>
          <cell r="K123">
            <v>0</v>
          </cell>
          <cell r="L123">
            <v>0</v>
          </cell>
          <cell r="M123">
            <v>0</v>
          </cell>
          <cell r="O123" t="str">
            <v>*</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row>
        <row r="124">
          <cell r="B124" t="str">
            <v>综合楼</v>
          </cell>
          <cell r="C124" t="str">
            <v>建筑面积</v>
          </cell>
          <cell r="D124" t="str">
            <v>m2</v>
          </cell>
          <cell r="E124">
            <v>0</v>
          </cell>
          <cell r="F124">
            <v>0</v>
          </cell>
          <cell r="G124">
            <v>0</v>
          </cell>
          <cell r="H124">
            <v>0</v>
          </cell>
          <cell r="I124">
            <v>0.10999999999999999</v>
          </cell>
          <cell r="J124">
            <v>0</v>
          </cell>
          <cell r="K124">
            <v>0</v>
          </cell>
          <cell r="L124">
            <v>0</v>
          </cell>
          <cell r="M124">
            <v>0</v>
          </cell>
          <cell r="O124" t="str">
            <v>*</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B125" t="str">
            <v>写字楼</v>
          </cell>
          <cell r="C125" t="str">
            <v>建筑面积</v>
          </cell>
          <cell r="D125" t="str">
            <v>m2</v>
          </cell>
          <cell r="E125">
            <v>0</v>
          </cell>
          <cell r="F125">
            <v>0</v>
          </cell>
          <cell r="G125">
            <v>0</v>
          </cell>
          <cell r="H125">
            <v>0</v>
          </cell>
          <cell r="I125">
            <v>0.10999999999999999</v>
          </cell>
          <cell r="J125">
            <v>0</v>
          </cell>
          <cell r="K125">
            <v>0</v>
          </cell>
          <cell r="L125">
            <v>0</v>
          </cell>
          <cell r="M125">
            <v>0</v>
          </cell>
          <cell r="O125" t="str">
            <v>*</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6">
          <cell r="B126" t="str">
            <v>酒店</v>
          </cell>
          <cell r="C126" t="str">
            <v>建筑面积</v>
          </cell>
          <cell r="D126" t="str">
            <v>m2</v>
          </cell>
          <cell r="E126">
            <v>0</v>
          </cell>
          <cell r="F126">
            <v>0</v>
          </cell>
          <cell r="G126">
            <v>0</v>
          </cell>
          <cell r="H126">
            <v>0</v>
          </cell>
          <cell r="I126">
            <v>0.10999999999999999</v>
          </cell>
          <cell r="J126">
            <v>0</v>
          </cell>
          <cell r="K126">
            <v>0</v>
          </cell>
          <cell r="L126">
            <v>0</v>
          </cell>
          <cell r="M126">
            <v>0</v>
          </cell>
          <cell r="O126" t="str">
            <v>*</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B127" t="str">
            <v>医院（自持）</v>
          </cell>
          <cell r="C127" t="str">
            <v>建筑面积</v>
          </cell>
          <cell r="D127" t="str">
            <v>m2</v>
          </cell>
          <cell r="E127">
            <v>0</v>
          </cell>
          <cell r="F127">
            <v>0</v>
          </cell>
          <cell r="G127">
            <v>0</v>
          </cell>
          <cell r="H127">
            <v>0</v>
          </cell>
          <cell r="I127">
            <v>0.10999999999999999</v>
          </cell>
          <cell r="J127">
            <v>0</v>
          </cell>
          <cell r="K127">
            <v>0</v>
          </cell>
          <cell r="L127">
            <v>0</v>
          </cell>
          <cell r="M127">
            <v>0</v>
          </cell>
          <cell r="O127" t="str">
            <v>*</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row>
        <row r="128">
          <cell r="B128" t="str">
            <v>地上计容车库</v>
          </cell>
          <cell r="C128" t="str">
            <v>建筑面积</v>
          </cell>
          <cell r="D128" t="str">
            <v>m2</v>
          </cell>
          <cell r="E128">
            <v>0</v>
          </cell>
          <cell r="F128">
            <v>0</v>
          </cell>
          <cell r="G128">
            <v>0</v>
          </cell>
          <cell r="H128">
            <v>0</v>
          </cell>
          <cell r="I128">
            <v>0.10999999999999999</v>
          </cell>
          <cell r="J128">
            <v>0</v>
          </cell>
          <cell r="K128">
            <v>0</v>
          </cell>
          <cell r="L128">
            <v>0</v>
          </cell>
          <cell r="M128">
            <v>0</v>
          </cell>
          <cell r="O128" t="str">
            <v>*</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row>
        <row r="129">
          <cell r="B129" t="str">
            <v>非人防地下室</v>
          </cell>
          <cell r="C129" t="str">
            <v>建筑面积</v>
          </cell>
          <cell r="D129" t="str">
            <v>m2</v>
          </cell>
          <cell r="E129">
            <v>77471.58</v>
          </cell>
          <cell r="F129">
            <v>184.72300000000001</v>
          </cell>
          <cell r="G129">
            <v>14310782.672340002</v>
          </cell>
          <cell r="H129">
            <v>0</v>
          </cell>
          <cell r="I129">
            <v>0.10999999999999999</v>
          </cell>
          <cell r="J129">
            <v>166.41711711711716</v>
          </cell>
          <cell r="K129">
            <v>18.305882882882855</v>
          </cell>
          <cell r="L129">
            <v>12892597.002108112</v>
          </cell>
          <cell r="M129">
            <v>1418185.6702318899</v>
          </cell>
          <cell r="O129" t="str">
            <v>*</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12892597.002108112</v>
          </cell>
          <cell r="AH129">
            <v>0</v>
          </cell>
          <cell r="AI129">
            <v>0</v>
          </cell>
          <cell r="AJ129">
            <v>0</v>
          </cell>
          <cell r="AK129">
            <v>0</v>
          </cell>
          <cell r="AL129">
            <v>0</v>
          </cell>
          <cell r="AM129">
            <v>0</v>
          </cell>
          <cell r="AN129">
            <v>0</v>
          </cell>
          <cell r="AO129">
            <v>0</v>
          </cell>
          <cell r="AP129">
            <v>0</v>
          </cell>
          <cell r="AQ129">
            <v>0</v>
          </cell>
          <cell r="AR129">
            <v>12892597.002108112</v>
          </cell>
          <cell r="AS129">
            <v>0</v>
          </cell>
        </row>
        <row r="130">
          <cell r="B130" t="str">
            <v>人防地下室</v>
          </cell>
          <cell r="C130" t="str">
            <v>建筑面积</v>
          </cell>
          <cell r="D130" t="str">
            <v>m2</v>
          </cell>
          <cell r="E130">
            <v>9400</v>
          </cell>
          <cell r="F130">
            <v>184.72300000000001</v>
          </cell>
          <cell r="G130">
            <v>1736396.2000000002</v>
          </cell>
          <cell r="H130">
            <v>0</v>
          </cell>
          <cell r="I130">
            <v>0.10999999999999999</v>
          </cell>
          <cell r="J130">
            <v>166.41711711711716</v>
          </cell>
          <cell r="K130">
            <v>18.305882882882855</v>
          </cell>
          <cell r="L130">
            <v>1564320.9009009013</v>
          </cell>
          <cell r="M130">
            <v>172075.29909909889</v>
          </cell>
          <cell r="O130" t="str">
            <v>*</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1564320.9009009013</v>
          </cell>
          <cell r="AI130">
            <v>0</v>
          </cell>
          <cell r="AJ130">
            <v>0</v>
          </cell>
          <cell r="AK130">
            <v>0</v>
          </cell>
          <cell r="AL130">
            <v>0</v>
          </cell>
          <cell r="AM130">
            <v>0</v>
          </cell>
          <cell r="AN130">
            <v>0</v>
          </cell>
          <cell r="AO130">
            <v>0</v>
          </cell>
          <cell r="AP130">
            <v>0</v>
          </cell>
          <cell r="AQ130">
            <v>0</v>
          </cell>
          <cell r="AR130">
            <v>1564320.9009009013</v>
          </cell>
          <cell r="AS130">
            <v>0</v>
          </cell>
        </row>
        <row r="131">
          <cell r="B131" t="str">
            <v>独立会所（综合楼）</v>
          </cell>
          <cell r="C131" t="str">
            <v>建筑面积</v>
          </cell>
          <cell r="D131" t="str">
            <v>m2</v>
          </cell>
          <cell r="E131">
            <v>0</v>
          </cell>
          <cell r="F131">
            <v>0</v>
          </cell>
          <cell r="G131">
            <v>0</v>
          </cell>
          <cell r="H131">
            <v>0</v>
          </cell>
          <cell r="I131">
            <v>0.10999999999999999</v>
          </cell>
          <cell r="J131">
            <v>0</v>
          </cell>
          <cell r="K131">
            <v>0</v>
          </cell>
          <cell r="L131">
            <v>0</v>
          </cell>
          <cell r="M131">
            <v>0</v>
          </cell>
          <cell r="O131" t="str">
            <v>*</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活动中心</v>
          </cell>
          <cell r="C132" t="str">
            <v>建筑面积</v>
          </cell>
          <cell r="D132" t="str">
            <v>m2</v>
          </cell>
          <cell r="E132">
            <v>0</v>
          </cell>
          <cell r="F132">
            <v>0</v>
          </cell>
          <cell r="G132">
            <v>0</v>
          </cell>
          <cell r="H132">
            <v>0</v>
          </cell>
          <cell r="I132">
            <v>0.10999999999999999</v>
          </cell>
          <cell r="J132">
            <v>0</v>
          </cell>
          <cell r="K132">
            <v>0</v>
          </cell>
          <cell r="L132">
            <v>0</v>
          </cell>
          <cell r="M132">
            <v>0</v>
          </cell>
          <cell r="O132" t="str">
            <v>*</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row>
        <row r="133">
          <cell r="B133" t="str">
            <v>商贸市场</v>
          </cell>
          <cell r="C133" t="str">
            <v>建筑面积</v>
          </cell>
          <cell r="D133" t="str">
            <v>m2</v>
          </cell>
          <cell r="E133">
            <v>0</v>
          </cell>
          <cell r="F133">
            <v>0</v>
          </cell>
          <cell r="G133">
            <v>0</v>
          </cell>
          <cell r="H133">
            <v>0</v>
          </cell>
          <cell r="I133">
            <v>0.10999999999999999</v>
          </cell>
          <cell r="J133">
            <v>0</v>
          </cell>
          <cell r="K133">
            <v>0</v>
          </cell>
          <cell r="L133">
            <v>0</v>
          </cell>
          <cell r="M133">
            <v>0</v>
          </cell>
          <cell r="O133" t="str">
            <v>*</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B134" t="str">
            <v>医院</v>
          </cell>
          <cell r="C134" t="str">
            <v>建筑面积</v>
          </cell>
          <cell r="D134" t="str">
            <v>m2</v>
          </cell>
          <cell r="E134">
            <v>0</v>
          </cell>
          <cell r="F134">
            <v>0</v>
          </cell>
          <cell r="G134">
            <v>0</v>
          </cell>
          <cell r="H134">
            <v>0</v>
          </cell>
          <cell r="I134">
            <v>0.10999999999999999</v>
          </cell>
          <cell r="J134">
            <v>0</v>
          </cell>
          <cell r="K134">
            <v>0</v>
          </cell>
          <cell r="L134">
            <v>0</v>
          </cell>
          <cell r="M134">
            <v>0</v>
          </cell>
          <cell r="O134" t="str">
            <v>*</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B135" t="str">
            <v>幼儿园</v>
          </cell>
          <cell r="C135" t="str">
            <v>建筑面积</v>
          </cell>
          <cell r="D135" t="str">
            <v>m2</v>
          </cell>
          <cell r="E135">
            <v>0</v>
          </cell>
          <cell r="F135">
            <v>0</v>
          </cell>
          <cell r="G135">
            <v>0</v>
          </cell>
          <cell r="H135">
            <v>0</v>
          </cell>
          <cell r="I135">
            <v>0.10999999999999999</v>
          </cell>
          <cell r="J135">
            <v>0</v>
          </cell>
          <cell r="K135">
            <v>0</v>
          </cell>
          <cell r="L135">
            <v>0</v>
          </cell>
          <cell r="M135">
            <v>0</v>
          </cell>
          <cell r="O135" t="str">
            <v>*</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B136" t="str">
            <v>学校</v>
          </cell>
          <cell r="C136" t="str">
            <v>建筑面积</v>
          </cell>
          <cell r="D136" t="str">
            <v>m2</v>
          </cell>
          <cell r="E136">
            <v>0</v>
          </cell>
          <cell r="F136">
            <v>0</v>
          </cell>
          <cell r="G136">
            <v>0</v>
          </cell>
          <cell r="H136">
            <v>0</v>
          </cell>
          <cell r="I136">
            <v>0.10999999999999999</v>
          </cell>
          <cell r="J136">
            <v>0</v>
          </cell>
          <cell r="K136">
            <v>0</v>
          </cell>
          <cell r="L136">
            <v>0</v>
          </cell>
          <cell r="M136">
            <v>0</v>
          </cell>
          <cell r="O136" t="str">
            <v>*</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B137" t="str">
            <v>员工宿舍</v>
          </cell>
          <cell r="C137" t="str">
            <v>建筑面积</v>
          </cell>
          <cell r="D137" t="str">
            <v>m2</v>
          </cell>
          <cell r="E137">
            <v>0</v>
          </cell>
          <cell r="F137">
            <v>0</v>
          </cell>
          <cell r="G137">
            <v>0</v>
          </cell>
          <cell r="H137">
            <v>0</v>
          </cell>
          <cell r="I137">
            <v>0.10999999999999999</v>
          </cell>
          <cell r="J137">
            <v>0</v>
          </cell>
          <cell r="K137">
            <v>0</v>
          </cell>
          <cell r="L137">
            <v>0</v>
          </cell>
          <cell r="M137">
            <v>0</v>
          </cell>
          <cell r="O137" t="str">
            <v>*</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row>
        <row r="138">
          <cell r="B138" t="str">
            <v>基坑支护</v>
          </cell>
          <cell r="C138" t="str">
            <v>支护面积</v>
          </cell>
          <cell r="D138" t="str">
            <v>m2</v>
          </cell>
          <cell r="G138">
            <v>660000</v>
          </cell>
          <cell r="H138">
            <v>0</v>
          </cell>
          <cell r="I138">
            <v>0.10999999999999985</v>
          </cell>
          <cell r="J138">
            <v>0</v>
          </cell>
          <cell r="K138">
            <v>0</v>
          </cell>
          <cell r="L138">
            <v>594594.59459459467</v>
          </cell>
          <cell r="M138">
            <v>65405.405405405327</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396396.39639639645</v>
          </cell>
          <cell r="AH138">
            <v>198198.19819819822</v>
          </cell>
          <cell r="AI138">
            <v>0</v>
          </cell>
          <cell r="AJ138">
            <v>0</v>
          </cell>
          <cell r="AK138">
            <v>0</v>
          </cell>
          <cell r="AL138">
            <v>0</v>
          </cell>
          <cell r="AM138">
            <v>0</v>
          </cell>
          <cell r="AN138">
            <v>0</v>
          </cell>
          <cell r="AO138">
            <v>0</v>
          </cell>
          <cell r="AP138">
            <v>0</v>
          </cell>
          <cell r="AQ138">
            <v>0</v>
          </cell>
          <cell r="AR138">
            <v>594594.59459459467</v>
          </cell>
          <cell r="AS138">
            <v>0</v>
          </cell>
        </row>
        <row r="139">
          <cell r="B139">
            <v>100</v>
          </cell>
          <cell r="C139" t="str">
            <v>支护面积</v>
          </cell>
          <cell r="D139" t="str">
            <v>m2</v>
          </cell>
          <cell r="E139">
            <v>0</v>
          </cell>
          <cell r="F139">
            <v>0</v>
          </cell>
          <cell r="G139">
            <v>0</v>
          </cell>
          <cell r="H139">
            <v>0</v>
          </cell>
          <cell r="I139">
            <v>0.10999999999999999</v>
          </cell>
          <cell r="J139">
            <v>0</v>
          </cell>
          <cell r="K139">
            <v>0</v>
          </cell>
          <cell r="L139">
            <v>0</v>
          </cell>
          <cell r="M139">
            <v>0</v>
          </cell>
          <cell r="O139" t="str">
            <v>*</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row>
        <row r="140">
          <cell r="B140">
            <v>125</v>
          </cell>
          <cell r="C140" t="str">
            <v>支护面积</v>
          </cell>
          <cell r="D140" t="str">
            <v>m2</v>
          </cell>
          <cell r="E140">
            <v>0</v>
          </cell>
          <cell r="F140">
            <v>0</v>
          </cell>
          <cell r="G140">
            <v>0</v>
          </cell>
          <cell r="H140">
            <v>0</v>
          </cell>
          <cell r="I140">
            <v>0.10999999999999999</v>
          </cell>
          <cell r="J140">
            <v>0</v>
          </cell>
          <cell r="K140">
            <v>0</v>
          </cell>
          <cell r="L140">
            <v>0</v>
          </cell>
          <cell r="M140">
            <v>0</v>
          </cell>
          <cell r="O140" t="str">
            <v>*</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row>
        <row r="141">
          <cell r="B141">
            <v>150</v>
          </cell>
          <cell r="C141" t="str">
            <v>支护面积</v>
          </cell>
          <cell r="D141" t="str">
            <v>m2</v>
          </cell>
          <cell r="E141">
            <v>0</v>
          </cell>
          <cell r="F141">
            <v>0</v>
          </cell>
          <cell r="G141">
            <v>0</v>
          </cell>
          <cell r="H141">
            <v>0</v>
          </cell>
          <cell r="I141">
            <v>0.10999999999999999</v>
          </cell>
          <cell r="J141">
            <v>0</v>
          </cell>
          <cell r="K141">
            <v>0</v>
          </cell>
          <cell r="L141">
            <v>0</v>
          </cell>
          <cell r="M141">
            <v>0</v>
          </cell>
          <cell r="O141" t="str">
            <v>*</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B142" t="str">
            <v>1T4(30F)</v>
          </cell>
          <cell r="C142" t="str">
            <v>支护面积</v>
          </cell>
          <cell r="D142" t="str">
            <v>m2</v>
          </cell>
          <cell r="E142">
            <v>0</v>
          </cell>
          <cell r="F142">
            <v>0</v>
          </cell>
          <cell r="G142">
            <v>0</v>
          </cell>
          <cell r="H142">
            <v>0</v>
          </cell>
          <cell r="I142">
            <v>0.10999999999999999</v>
          </cell>
          <cell r="J142">
            <v>0</v>
          </cell>
          <cell r="K142">
            <v>0</v>
          </cell>
          <cell r="L142">
            <v>0</v>
          </cell>
          <cell r="M142">
            <v>0</v>
          </cell>
          <cell r="O142" t="str">
            <v>*</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row>
        <row r="143">
          <cell r="B143" t="str">
            <v>1T3(30F)</v>
          </cell>
          <cell r="C143" t="str">
            <v>支护面积</v>
          </cell>
          <cell r="D143" t="str">
            <v>m2</v>
          </cell>
          <cell r="E143">
            <v>0</v>
          </cell>
          <cell r="F143">
            <v>0</v>
          </cell>
          <cell r="G143">
            <v>0</v>
          </cell>
          <cell r="H143">
            <v>0</v>
          </cell>
          <cell r="I143">
            <v>0.10999999999999999</v>
          </cell>
          <cell r="J143">
            <v>0</v>
          </cell>
          <cell r="K143">
            <v>0</v>
          </cell>
          <cell r="L143">
            <v>0</v>
          </cell>
          <cell r="M143">
            <v>0</v>
          </cell>
          <cell r="O143" t="str">
            <v>*</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row>
        <row r="144">
          <cell r="B144" t="str">
            <v>LOFT(31F)</v>
          </cell>
          <cell r="C144" t="str">
            <v>支护面积</v>
          </cell>
          <cell r="D144" t="str">
            <v>m2</v>
          </cell>
          <cell r="E144">
            <v>0</v>
          </cell>
          <cell r="F144">
            <v>0</v>
          </cell>
          <cell r="G144">
            <v>0</v>
          </cell>
          <cell r="H144">
            <v>0</v>
          </cell>
          <cell r="I144">
            <v>0.10999999999999999</v>
          </cell>
          <cell r="J144">
            <v>0</v>
          </cell>
          <cell r="K144">
            <v>0</v>
          </cell>
          <cell r="L144">
            <v>0</v>
          </cell>
          <cell r="M144">
            <v>0</v>
          </cell>
          <cell r="O144" t="str">
            <v>*</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row>
        <row r="145">
          <cell r="B145" t="str">
            <v>1T2(31F)</v>
          </cell>
          <cell r="C145" t="str">
            <v>支护面积</v>
          </cell>
          <cell r="D145" t="str">
            <v>m2</v>
          </cell>
          <cell r="E145">
            <v>0</v>
          </cell>
          <cell r="F145">
            <v>0</v>
          </cell>
          <cell r="G145">
            <v>0</v>
          </cell>
          <cell r="H145">
            <v>0</v>
          </cell>
          <cell r="I145">
            <v>0.10999999999999999</v>
          </cell>
          <cell r="J145">
            <v>0</v>
          </cell>
          <cell r="K145">
            <v>0</v>
          </cell>
          <cell r="L145">
            <v>0</v>
          </cell>
          <cell r="M145">
            <v>0</v>
          </cell>
          <cell r="O145" t="str">
            <v>*</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row>
        <row r="146">
          <cell r="B146" t="str">
            <v>1T8(32F)</v>
          </cell>
          <cell r="C146" t="str">
            <v>支护面积</v>
          </cell>
          <cell r="D146" t="str">
            <v>m2</v>
          </cell>
          <cell r="E146">
            <v>0</v>
          </cell>
          <cell r="F146">
            <v>0</v>
          </cell>
          <cell r="G146">
            <v>0</v>
          </cell>
          <cell r="H146">
            <v>0</v>
          </cell>
          <cell r="I146">
            <v>0.10999999999999999</v>
          </cell>
          <cell r="J146">
            <v>0</v>
          </cell>
          <cell r="K146">
            <v>0</v>
          </cell>
          <cell r="L146">
            <v>0</v>
          </cell>
          <cell r="M146">
            <v>0</v>
          </cell>
          <cell r="O146" t="str">
            <v>*</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B147" t="str">
            <v>中高层洋房</v>
          </cell>
          <cell r="C147" t="str">
            <v>支护面积</v>
          </cell>
          <cell r="D147" t="str">
            <v>m2</v>
          </cell>
          <cell r="E147">
            <v>0</v>
          </cell>
          <cell r="F147">
            <v>0</v>
          </cell>
          <cell r="G147">
            <v>0</v>
          </cell>
          <cell r="H147">
            <v>0</v>
          </cell>
          <cell r="I147">
            <v>0.10999999999999999</v>
          </cell>
          <cell r="J147">
            <v>0</v>
          </cell>
          <cell r="K147">
            <v>0</v>
          </cell>
          <cell r="L147">
            <v>0</v>
          </cell>
          <cell r="M147">
            <v>0</v>
          </cell>
          <cell r="O147" t="str">
            <v>*</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B148" t="str">
            <v>115高层洋房</v>
          </cell>
          <cell r="C148" t="str">
            <v>支护面积</v>
          </cell>
          <cell r="D148" t="str">
            <v>m2</v>
          </cell>
          <cell r="E148">
            <v>0</v>
          </cell>
          <cell r="F148">
            <v>0</v>
          </cell>
          <cell r="G148">
            <v>0</v>
          </cell>
          <cell r="H148">
            <v>0</v>
          </cell>
          <cell r="I148">
            <v>0.10999999999999999</v>
          </cell>
          <cell r="J148">
            <v>0</v>
          </cell>
          <cell r="K148">
            <v>0</v>
          </cell>
          <cell r="L148">
            <v>0</v>
          </cell>
          <cell r="M148">
            <v>0</v>
          </cell>
          <cell r="O148" t="str">
            <v>*</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B149" t="str">
            <v>超高层洋房</v>
          </cell>
          <cell r="C149" t="str">
            <v>支护面积</v>
          </cell>
          <cell r="D149" t="str">
            <v>m2</v>
          </cell>
          <cell r="E149">
            <v>0</v>
          </cell>
          <cell r="F149">
            <v>0</v>
          </cell>
          <cell r="G149">
            <v>0</v>
          </cell>
          <cell r="H149">
            <v>0</v>
          </cell>
          <cell r="I149">
            <v>0.10999999999999999</v>
          </cell>
          <cell r="J149">
            <v>0</v>
          </cell>
          <cell r="K149">
            <v>0</v>
          </cell>
          <cell r="L149">
            <v>0</v>
          </cell>
          <cell r="M149">
            <v>0</v>
          </cell>
          <cell r="O149" t="str">
            <v>*</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row>
        <row r="150">
          <cell r="B150" t="str">
            <v>公寓</v>
          </cell>
          <cell r="C150" t="str">
            <v>支护面积</v>
          </cell>
          <cell r="D150" t="str">
            <v>m2</v>
          </cell>
          <cell r="E150">
            <v>0</v>
          </cell>
          <cell r="F150">
            <v>0</v>
          </cell>
          <cell r="G150">
            <v>0</v>
          </cell>
          <cell r="H150">
            <v>0</v>
          </cell>
          <cell r="I150">
            <v>0.10999999999999999</v>
          </cell>
          <cell r="J150">
            <v>0</v>
          </cell>
          <cell r="K150">
            <v>0</v>
          </cell>
          <cell r="L150">
            <v>0</v>
          </cell>
          <cell r="M150">
            <v>0</v>
          </cell>
          <cell r="O150" t="str">
            <v>*</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row>
        <row r="151">
          <cell r="B151" t="str">
            <v>底商</v>
          </cell>
          <cell r="C151" t="str">
            <v>支护面积</v>
          </cell>
          <cell r="D151" t="str">
            <v>m2</v>
          </cell>
          <cell r="E151">
            <v>0</v>
          </cell>
          <cell r="F151">
            <v>0</v>
          </cell>
          <cell r="G151">
            <v>0</v>
          </cell>
          <cell r="H151">
            <v>0</v>
          </cell>
          <cell r="I151">
            <v>0.10999999999999999</v>
          </cell>
          <cell r="J151">
            <v>0</v>
          </cell>
          <cell r="K151">
            <v>0</v>
          </cell>
          <cell r="L151">
            <v>0</v>
          </cell>
          <cell r="M151">
            <v>0</v>
          </cell>
          <cell r="O151" t="str">
            <v>*</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row>
        <row r="152">
          <cell r="B152" t="str">
            <v>商业街</v>
          </cell>
          <cell r="C152" t="str">
            <v>支护面积</v>
          </cell>
          <cell r="D152" t="str">
            <v>m2</v>
          </cell>
          <cell r="E152">
            <v>0</v>
          </cell>
          <cell r="F152">
            <v>0</v>
          </cell>
          <cell r="G152">
            <v>0</v>
          </cell>
          <cell r="H152">
            <v>0</v>
          </cell>
          <cell r="I152">
            <v>0.10999999999999999</v>
          </cell>
          <cell r="J152">
            <v>0</v>
          </cell>
          <cell r="K152">
            <v>0</v>
          </cell>
          <cell r="L152">
            <v>0</v>
          </cell>
          <cell r="M152">
            <v>0</v>
          </cell>
          <cell r="O152" t="str">
            <v>*</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row>
        <row r="153">
          <cell r="B153" t="str">
            <v>综合楼</v>
          </cell>
          <cell r="C153" t="str">
            <v>支护面积</v>
          </cell>
          <cell r="D153" t="str">
            <v>m2</v>
          </cell>
          <cell r="E153">
            <v>0</v>
          </cell>
          <cell r="F153">
            <v>0</v>
          </cell>
          <cell r="G153">
            <v>0</v>
          </cell>
          <cell r="H153">
            <v>0</v>
          </cell>
          <cell r="I153">
            <v>0.10999999999999999</v>
          </cell>
          <cell r="J153">
            <v>0</v>
          </cell>
          <cell r="K153">
            <v>0</v>
          </cell>
          <cell r="L153">
            <v>0</v>
          </cell>
          <cell r="M153">
            <v>0</v>
          </cell>
          <cell r="O153" t="str">
            <v>*</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row>
        <row r="154">
          <cell r="B154" t="str">
            <v>写字楼</v>
          </cell>
          <cell r="C154" t="str">
            <v>支护面积</v>
          </cell>
          <cell r="D154" t="str">
            <v>m2</v>
          </cell>
          <cell r="E154">
            <v>0</v>
          </cell>
          <cell r="F154">
            <v>0</v>
          </cell>
          <cell r="G154">
            <v>0</v>
          </cell>
          <cell r="H154">
            <v>0</v>
          </cell>
          <cell r="I154">
            <v>0.10999999999999999</v>
          </cell>
          <cell r="J154">
            <v>0</v>
          </cell>
          <cell r="K154">
            <v>0</v>
          </cell>
          <cell r="L154">
            <v>0</v>
          </cell>
          <cell r="M154">
            <v>0</v>
          </cell>
          <cell r="O154" t="str">
            <v>*</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row>
        <row r="155">
          <cell r="B155" t="str">
            <v>酒店</v>
          </cell>
          <cell r="C155" t="str">
            <v>支护面积</v>
          </cell>
          <cell r="D155" t="str">
            <v>m2</v>
          </cell>
          <cell r="E155">
            <v>0</v>
          </cell>
          <cell r="F155">
            <v>0</v>
          </cell>
          <cell r="G155">
            <v>0</v>
          </cell>
          <cell r="H155">
            <v>0</v>
          </cell>
          <cell r="I155">
            <v>0.10999999999999999</v>
          </cell>
          <cell r="J155">
            <v>0</v>
          </cell>
          <cell r="K155">
            <v>0</v>
          </cell>
          <cell r="L155">
            <v>0</v>
          </cell>
          <cell r="M155">
            <v>0</v>
          </cell>
          <cell r="O155" t="str">
            <v>*</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row>
        <row r="156">
          <cell r="B156" t="str">
            <v>医院（自持）</v>
          </cell>
          <cell r="C156" t="str">
            <v>支护面积</v>
          </cell>
          <cell r="D156" t="str">
            <v>m2</v>
          </cell>
          <cell r="E156">
            <v>0</v>
          </cell>
          <cell r="F156">
            <v>0</v>
          </cell>
          <cell r="G156">
            <v>0</v>
          </cell>
          <cell r="H156">
            <v>0</v>
          </cell>
          <cell r="I156">
            <v>0.10999999999999999</v>
          </cell>
          <cell r="J156">
            <v>0</v>
          </cell>
          <cell r="K156">
            <v>0</v>
          </cell>
          <cell r="L156">
            <v>0</v>
          </cell>
          <cell r="M156">
            <v>0</v>
          </cell>
          <cell r="O156" t="str">
            <v>*</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7">
          <cell r="B157" t="str">
            <v>地上计容车库</v>
          </cell>
          <cell r="C157" t="str">
            <v>支护面积</v>
          </cell>
          <cell r="D157" t="str">
            <v>m2</v>
          </cell>
          <cell r="E157">
            <v>0</v>
          </cell>
          <cell r="F157">
            <v>0</v>
          </cell>
          <cell r="G157">
            <v>0</v>
          </cell>
          <cell r="H157">
            <v>0</v>
          </cell>
          <cell r="I157">
            <v>0.10999999999999999</v>
          </cell>
          <cell r="J157">
            <v>0</v>
          </cell>
          <cell r="K157">
            <v>0</v>
          </cell>
          <cell r="L157">
            <v>0</v>
          </cell>
          <cell r="M157">
            <v>0</v>
          </cell>
          <cell r="O157" t="str">
            <v>*</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row>
        <row r="158">
          <cell r="B158" t="str">
            <v>非人防地下室</v>
          </cell>
          <cell r="C158" t="str">
            <v>支护面积</v>
          </cell>
          <cell r="D158" t="str">
            <v>m2</v>
          </cell>
          <cell r="E158">
            <v>4000</v>
          </cell>
          <cell r="F158">
            <v>110</v>
          </cell>
          <cell r="G158">
            <v>440000</v>
          </cell>
          <cell r="H158">
            <v>0</v>
          </cell>
          <cell r="I158">
            <v>0.10999999999999999</v>
          </cell>
          <cell r="J158">
            <v>99.099099099099107</v>
          </cell>
          <cell r="K158">
            <v>10.900900900900893</v>
          </cell>
          <cell r="L158">
            <v>396396.39639639645</v>
          </cell>
          <cell r="M158">
            <v>43603.603603603551</v>
          </cell>
          <cell r="O158" t="str">
            <v>*</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396396.39639639645</v>
          </cell>
          <cell r="AH158">
            <v>0</v>
          </cell>
          <cell r="AI158">
            <v>0</v>
          </cell>
          <cell r="AJ158">
            <v>0</v>
          </cell>
          <cell r="AK158">
            <v>0</v>
          </cell>
          <cell r="AL158">
            <v>0</v>
          </cell>
          <cell r="AM158">
            <v>0</v>
          </cell>
          <cell r="AN158">
            <v>0</v>
          </cell>
          <cell r="AO158">
            <v>0</v>
          </cell>
          <cell r="AP158">
            <v>0</v>
          </cell>
          <cell r="AQ158">
            <v>0</v>
          </cell>
          <cell r="AR158">
            <v>396396.39639639645</v>
          </cell>
          <cell r="AS158">
            <v>0</v>
          </cell>
        </row>
        <row r="159">
          <cell r="B159" t="str">
            <v>人防地下室</v>
          </cell>
          <cell r="C159" t="str">
            <v>支护面积</v>
          </cell>
          <cell r="D159" t="str">
            <v>m2</v>
          </cell>
          <cell r="E159">
            <v>2000</v>
          </cell>
          <cell r="F159">
            <v>110</v>
          </cell>
          <cell r="G159">
            <v>220000</v>
          </cell>
          <cell r="H159">
            <v>0</v>
          </cell>
          <cell r="I159">
            <v>0.10999999999999999</v>
          </cell>
          <cell r="J159">
            <v>99.099099099099107</v>
          </cell>
          <cell r="K159">
            <v>10.900900900900893</v>
          </cell>
          <cell r="L159">
            <v>198198.19819819822</v>
          </cell>
          <cell r="M159">
            <v>21801.801801801776</v>
          </cell>
          <cell r="O159" t="str">
            <v>*</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198198.19819819822</v>
          </cell>
          <cell r="AI159">
            <v>0</v>
          </cell>
          <cell r="AJ159">
            <v>0</v>
          </cell>
          <cell r="AK159">
            <v>0</v>
          </cell>
          <cell r="AL159">
            <v>0</v>
          </cell>
          <cell r="AM159">
            <v>0</v>
          </cell>
          <cell r="AN159">
            <v>0</v>
          </cell>
          <cell r="AO159">
            <v>0</v>
          </cell>
          <cell r="AP159">
            <v>0</v>
          </cell>
          <cell r="AQ159">
            <v>0</v>
          </cell>
          <cell r="AR159">
            <v>198198.19819819822</v>
          </cell>
          <cell r="AS159">
            <v>0</v>
          </cell>
        </row>
        <row r="160">
          <cell r="B160" t="str">
            <v>独立会所（综合楼）</v>
          </cell>
          <cell r="C160" t="str">
            <v>支护面积</v>
          </cell>
          <cell r="D160" t="str">
            <v>m2</v>
          </cell>
          <cell r="E160">
            <v>0</v>
          </cell>
          <cell r="F160">
            <v>0</v>
          </cell>
          <cell r="G160">
            <v>0</v>
          </cell>
          <cell r="H160">
            <v>0</v>
          </cell>
          <cell r="I160">
            <v>0.10999999999999999</v>
          </cell>
          <cell r="J160">
            <v>0</v>
          </cell>
          <cell r="K160">
            <v>0</v>
          </cell>
          <cell r="L160">
            <v>0</v>
          </cell>
          <cell r="M160">
            <v>0</v>
          </cell>
          <cell r="O160" t="str">
            <v>*</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B161" t="str">
            <v>活动中心</v>
          </cell>
          <cell r="C161" t="str">
            <v>支护面积</v>
          </cell>
          <cell r="D161" t="str">
            <v>m2</v>
          </cell>
          <cell r="E161">
            <v>0</v>
          </cell>
          <cell r="F161">
            <v>0</v>
          </cell>
          <cell r="G161">
            <v>0</v>
          </cell>
          <cell r="H161">
            <v>0</v>
          </cell>
          <cell r="I161">
            <v>0.10999999999999999</v>
          </cell>
          <cell r="J161">
            <v>0</v>
          </cell>
          <cell r="K161">
            <v>0</v>
          </cell>
          <cell r="L161">
            <v>0</v>
          </cell>
          <cell r="M161">
            <v>0</v>
          </cell>
          <cell r="O161" t="str">
            <v>*</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B162" t="str">
            <v>商贸市场</v>
          </cell>
          <cell r="C162" t="str">
            <v>支护面积</v>
          </cell>
          <cell r="D162" t="str">
            <v>m2</v>
          </cell>
          <cell r="E162">
            <v>0</v>
          </cell>
          <cell r="F162">
            <v>0</v>
          </cell>
          <cell r="G162">
            <v>0</v>
          </cell>
          <cell r="H162">
            <v>0</v>
          </cell>
          <cell r="I162">
            <v>0.10999999999999999</v>
          </cell>
          <cell r="J162">
            <v>0</v>
          </cell>
          <cell r="K162">
            <v>0</v>
          </cell>
          <cell r="L162">
            <v>0</v>
          </cell>
          <cell r="M162">
            <v>0</v>
          </cell>
          <cell r="O162" t="str">
            <v>*</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3">
          <cell r="B163" t="str">
            <v>医院</v>
          </cell>
          <cell r="C163" t="str">
            <v>支护面积</v>
          </cell>
          <cell r="D163" t="str">
            <v>m2</v>
          </cell>
          <cell r="E163">
            <v>0</v>
          </cell>
          <cell r="F163">
            <v>0</v>
          </cell>
          <cell r="G163">
            <v>0</v>
          </cell>
          <cell r="H163">
            <v>0</v>
          </cell>
          <cell r="I163">
            <v>0.10999999999999999</v>
          </cell>
          <cell r="J163">
            <v>0</v>
          </cell>
          <cell r="K163">
            <v>0</v>
          </cell>
          <cell r="L163">
            <v>0</v>
          </cell>
          <cell r="M163">
            <v>0</v>
          </cell>
          <cell r="O163" t="str">
            <v>*</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row>
        <row r="164">
          <cell r="B164" t="str">
            <v>幼儿园</v>
          </cell>
          <cell r="C164" t="str">
            <v>支护面积</v>
          </cell>
          <cell r="D164" t="str">
            <v>m2</v>
          </cell>
          <cell r="E164">
            <v>0</v>
          </cell>
          <cell r="F164">
            <v>0</v>
          </cell>
          <cell r="G164">
            <v>0</v>
          </cell>
          <cell r="H164">
            <v>0</v>
          </cell>
          <cell r="I164">
            <v>0.10999999999999999</v>
          </cell>
          <cell r="J164">
            <v>0</v>
          </cell>
          <cell r="K164">
            <v>0</v>
          </cell>
          <cell r="L164">
            <v>0</v>
          </cell>
          <cell r="M164">
            <v>0</v>
          </cell>
          <cell r="O164" t="str">
            <v>*</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row>
        <row r="165">
          <cell r="B165" t="str">
            <v>学校</v>
          </cell>
          <cell r="C165" t="str">
            <v>支护面积</v>
          </cell>
          <cell r="D165" t="str">
            <v>m2</v>
          </cell>
          <cell r="E165">
            <v>0</v>
          </cell>
          <cell r="F165">
            <v>0</v>
          </cell>
          <cell r="G165">
            <v>0</v>
          </cell>
          <cell r="H165">
            <v>0</v>
          </cell>
          <cell r="I165">
            <v>0.10999999999999999</v>
          </cell>
          <cell r="J165">
            <v>0</v>
          </cell>
          <cell r="K165">
            <v>0</v>
          </cell>
          <cell r="L165">
            <v>0</v>
          </cell>
          <cell r="M165">
            <v>0</v>
          </cell>
          <cell r="O165" t="str">
            <v>*</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row>
        <row r="166">
          <cell r="B166" t="str">
            <v>员工宿舍</v>
          </cell>
          <cell r="C166" t="str">
            <v>支护面积</v>
          </cell>
          <cell r="D166" t="str">
            <v>m2</v>
          </cell>
          <cell r="E166">
            <v>0</v>
          </cell>
          <cell r="F166">
            <v>0</v>
          </cell>
          <cell r="G166">
            <v>0</v>
          </cell>
          <cell r="H166">
            <v>0</v>
          </cell>
          <cell r="I166">
            <v>0.10999999999999999</v>
          </cell>
          <cell r="J166">
            <v>0</v>
          </cell>
          <cell r="K166">
            <v>0</v>
          </cell>
          <cell r="L166">
            <v>0</v>
          </cell>
          <cell r="M166">
            <v>0</v>
          </cell>
          <cell r="O166" t="str">
            <v>*</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row>
        <row r="167">
          <cell r="B167" t="str">
            <v>降水费用</v>
          </cell>
          <cell r="C167" t="str">
            <v>占地面积</v>
          </cell>
          <cell r="D167" t="str">
            <v>m2</v>
          </cell>
          <cell r="G167">
            <v>0</v>
          </cell>
          <cell r="I167">
            <v>0.10999999999999999</v>
          </cell>
          <cell r="J167">
            <v>0</v>
          </cell>
          <cell r="K167">
            <v>0</v>
          </cell>
          <cell r="L167">
            <v>0</v>
          </cell>
          <cell r="M167">
            <v>0</v>
          </cell>
          <cell r="O167" t="str">
            <v>建筑面积</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B168" t="str">
            <v>地基处理</v>
          </cell>
          <cell r="C168" t="str">
            <v>建筑面积</v>
          </cell>
          <cell r="D168" t="str">
            <v>m2</v>
          </cell>
          <cell r="G168">
            <v>0</v>
          </cell>
          <cell r="I168">
            <v>0</v>
          </cell>
          <cell r="J168">
            <v>0</v>
          </cell>
          <cell r="K168">
            <v>0</v>
          </cell>
          <cell r="L168">
            <v>0</v>
          </cell>
          <cell r="M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row>
        <row r="169">
          <cell r="B169">
            <v>100</v>
          </cell>
          <cell r="C169" t="str">
            <v>建筑面积</v>
          </cell>
          <cell r="D169" t="str">
            <v>m2</v>
          </cell>
          <cell r="E169">
            <v>0</v>
          </cell>
          <cell r="F169">
            <v>0</v>
          </cell>
          <cell r="G169">
            <v>0</v>
          </cell>
          <cell r="H169">
            <v>0</v>
          </cell>
          <cell r="I169">
            <v>0.10999999999999999</v>
          </cell>
          <cell r="J169">
            <v>0</v>
          </cell>
          <cell r="K169">
            <v>0</v>
          </cell>
          <cell r="L169">
            <v>0</v>
          </cell>
          <cell r="M169">
            <v>0</v>
          </cell>
          <cell r="O169" t="str">
            <v>*</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row>
        <row r="170">
          <cell r="B170">
            <v>125</v>
          </cell>
          <cell r="C170" t="str">
            <v>建筑面积</v>
          </cell>
          <cell r="D170" t="str">
            <v>m2</v>
          </cell>
          <cell r="E170">
            <v>0</v>
          </cell>
          <cell r="F170">
            <v>0</v>
          </cell>
          <cell r="G170">
            <v>0</v>
          </cell>
          <cell r="H170">
            <v>0</v>
          </cell>
          <cell r="I170">
            <v>0.10999999999999999</v>
          </cell>
          <cell r="J170">
            <v>0</v>
          </cell>
          <cell r="K170">
            <v>0</v>
          </cell>
          <cell r="L170">
            <v>0</v>
          </cell>
          <cell r="M170">
            <v>0</v>
          </cell>
          <cell r="O170" t="str">
            <v>*</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B171">
            <v>150</v>
          </cell>
          <cell r="C171" t="str">
            <v>建筑面积</v>
          </cell>
          <cell r="D171" t="str">
            <v>m2</v>
          </cell>
          <cell r="E171">
            <v>0</v>
          </cell>
          <cell r="F171">
            <v>0</v>
          </cell>
          <cell r="G171">
            <v>0</v>
          </cell>
          <cell r="H171">
            <v>0</v>
          </cell>
          <cell r="I171">
            <v>0.10999999999999999</v>
          </cell>
          <cell r="J171">
            <v>0</v>
          </cell>
          <cell r="K171">
            <v>0</v>
          </cell>
          <cell r="L171">
            <v>0</v>
          </cell>
          <cell r="M171">
            <v>0</v>
          </cell>
          <cell r="O171" t="str">
            <v>*</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row>
        <row r="172">
          <cell r="B172" t="str">
            <v>1T4(30F)</v>
          </cell>
          <cell r="C172" t="str">
            <v>建筑面积</v>
          </cell>
          <cell r="D172" t="str">
            <v>m2</v>
          </cell>
          <cell r="E172">
            <v>0</v>
          </cell>
          <cell r="F172">
            <v>0</v>
          </cell>
          <cell r="G172">
            <v>0</v>
          </cell>
          <cell r="H172">
            <v>0</v>
          </cell>
          <cell r="I172">
            <v>0.10999999999999999</v>
          </cell>
          <cell r="J172">
            <v>0</v>
          </cell>
          <cell r="K172">
            <v>0</v>
          </cell>
          <cell r="L172">
            <v>0</v>
          </cell>
          <cell r="M172">
            <v>0</v>
          </cell>
          <cell r="O172" t="str">
            <v>*</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row>
        <row r="173">
          <cell r="B173" t="str">
            <v>1T3(30F)</v>
          </cell>
          <cell r="C173" t="str">
            <v>建筑面积</v>
          </cell>
          <cell r="D173" t="str">
            <v>m2</v>
          </cell>
          <cell r="E173">
            <v>0</v>
          </cell>
          <cell r="F173">
            <v>0</v>
          </cell>
          <cell r="G173">
            <v>0</v>
          </cell>
          <cell r="H173">
            <v>0</v>
          </cell>
          <cell r="I173">
            <v>0.10999999999999999</v>
          </cell>
          <cell r="J173">
            <v>0</v>
          </cell>
          <cell r="K173">
            <v>0</v>
          </cell>
          <cell r="L173">
            <v>0</v>
          </cell>
          <cell r="M173">
            <v>0</v>
          </cell>
          <cell r="O173" t="str">
            <v>*</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row>
        <row r="174">
          <cell r="B174" t="str">
            <v>LOFT(31F)</v>
          </cell>
          <cell r="C174" t="str">
            <v>建筑面积</v>
          </cell>
          <cell r="D174" t="str">
            <v>m2</v>
          </cell>
          <cell r="E174">
            <v>0</v>
          </cell>
          <cell r="F174">
            <v>0</v>
          </cell>
          <cell r="G174">
            <v>0</v>
          </cell>
          <cell r="H174">
            <v>0</v>
          </cell>
          <cell r="I174">
            <v>0.10999999999999999</v>
          </cell>
          <cell r="J174">
            <v>0</v>
          </cell>
          <cell r="K174">
            <v>0</v>
          </cell>
          <cell r="L174">
            <v>0</v>
          </cell>
          <cell r="M174">
            <v>0</v>
          </cell>
          <cell r="O174" t="str">
            <v>*</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5">
          <cell r="B175" t="str">
            <v>1T2(31F)</v>
          </cell>
          <cell r="C175" t="str">
            <v>建筑面积</v>
          </cell>
          <cell r="D175" t="str">
            <v>m2</v>
          </cell>
          <cell r="E175">
            <v>0</v>
          </cell>
          <cell r="F175">
            <v>0</v>
          </cell>
          <cell r="G175">
            <v>0</v>
          </cell>
          <cell r="H175">
            <v>0</v>
          </cell>
          <cell r="I175">
            <v>0.10999999999999999</v>
          </cell>
          <cell r="J175">
            <v>0</v>
          </cell>
          <cell r="K175">
            <v>0</v>
          </cell>
          <cell r="L175">
            <v>0</v>
          </cell>
          <cell r="M175">
            <v>0</v>
          </cell>
          <cell r="O175" t="str">
            <v>*</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row>
        <row r="176">
          <cell r="B176" t="str">
            <v>1T8(32F)</v>
          </cell>
          <cell r="C176" t="str">
            <v>建筑面积</v>
          </cell>
          <cell r="D176" t="str">
            <v>m2</v>
          </cell>
          <cell r="E176">
            <v>0</v>
          </cell>
          <cell r="F176">
            <v>0</v>
          </cell>
          <cell r="G176">
            <v>0</v>
          </cell>
          <cell r="H176">
            <v>0</v>
          </cell>
          <cell r="I176">
            <v>0.10999999999999999</v>
          </cell>
          <cell r="J176">
            <v>0</v>
          </cell>
          <cell r="K176">
            <v>0</v>
          </cell>
          <cell r="L176">
            <v>0</v>
          </cell>
          <cell r="M176">
            <v>0</v>
          </cell>
          <cell r="O176" t="str">
            <v>*</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B177" t="str">
            <v>中高层洋房</v>
          </cell>
          <cell r="C177" t="str">
            <v>建筑面积</v>
          </cell>
          <cell r="D177" t="str">
            <v>m2</v>
          </cell>
          <cell r="E177">
            <v>0</v>
          </cell>
          <cell r="F177">
            <v>0</v>
          </cell>
          <cell r="G177">
            <v>0</v>
          </cell>
          <cell r="H177">
            <v>0</v>
          </cell>
          <cell r="I177">
            <v>0.10999999999999999</v>
          </cell>
          <cell r="J177">
            <v>0</v>
          </cell>
          <cell r="K177">
            <v>0</v>
          </cell>
          <cell r="L177">
            <v>0</v>
          </cell>
          <cell r="M177">
            <v>0</v>
          </cell>
          <cell r="O177" t="str">
            <v>*</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B178" t="str">
            <v>115高层洋房</v>
          </cell>
          <cell r="C178" t="str">
            <v>建筑面积</v>
          </cell>
          <cell r="D178" t="str">
            <v>m2</v>
          </cell>
          <cell r="E178">
            <v>0</v>
          </cell>
          <cell r="F178">
            <v>0</v>
          </cell>
          <cell r="G178">
            <v>0</v>
          </cell>
          <cell r="H178">
            <v>0</v>
          </cell>
          <cell r="I178">
            <v>0.10999999999999999</v>
          </cell>
          <cell r="J178">
            <v>0</v>
          </cell>
          <cell r="K178">
            <v>0</v>
          </cell>
          <cell r="L178">
            <v>0</v>
          </cell>
          <cell r="M178">
            <v>0</v>
          </cell>
          <cell r="O178" t="str">
            <v>*</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B179" t="str">
            <v>超高层洋房</v>
          </cell>
          <cell r="C179" t="str">
            <v>建筑面积</v>
          </cell>
          <cell r="D179" t="str">
            <v>m2</v>
          </cell>
          <cell r="E179">
            <v>0</v>
          </cell>
          <cell r="F179">
            <v>0</v>
          </cell>
          <cell r="G179">
            <v>0</v>
          </cell>
          <cell r="H179">
            <v>0</v>
          </cell>
          <cell r="I179">
            <v>0.10999999999999999</v>
          </cell>
          <cell r="J179">
            <v>0</v>
          </cell>
          <cell r="K179">
            <v>0</v>
          </cell>
          <cell r="L179">
            <v>0</v>
          </cell>
          <cell r="M179">
            <v>0</v>
          </cell>
          <cell r="O179" t="str">
            <v>*</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row>
        <row r="180">
          <cell r="B180" t="str">
            <v>公寓</v>
          </cell>
          <cell r="C180" t="str">
            <v>建筑面积</v>
          </cell>
          <cell r="D180" t="str">
            <v>m2</v>
          </cell>
          <cell r="E180">
            <v>0</v>
          </cell>
          <cell r="F180">
            <v>0</v>
          </cell>
          <cell r="G180">
            <v>0</v>
          </cell>
          <cell r="H180">
            <v>0</v>
          </cell>
          <cell r="I180">
            <v>0.10999999999999999</v>
          </cell>
          <cell r="J180">
            <v>0</v>
          </cell>
          <cell r="K180">
            <v>0</v>
          </cell>
          <cell r="L180">
            <v>0</v>
          </cell>
          <cell r="M180">
            <v>0</v>
          </cell>
          <cell r="O180" t="str">
            <v>*</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row>
        <row r="181">
          <cell r="B181" t="str">
            <v>底商</v>
          </cell>
          <cell r="C181" t="str">
            <v>建筑面积</v>
          </cell>
          <cell r="D181" t="str">
            <v>m2</v>
          </cell>
          <cell r="E181">
            <v>0</v>
          </cell>
          <cell r="F181">
            <v>0</v>
          </cell>
          <cell r="G181">
            <v>0</v>
          </cell>
          <cell r="H181">
            <v>0</v>
          </cell>
          <cell r="I181">
            <v>0.10999999999999999</v>
          </cell>
          <cell r="J181">
            <v>0</v>
          </cell>
          <cell r="K181">
            <v>0</v>
          </cell>
          <cell r="L181">
            <v>0</v>
          </cell>
          <cell r="M181">
            <v>0</v>
          </cell>
          <cell r="O181" t="str">
            <v>*</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row>
        <row r="182">
          <cell r="B182" t="str">
            <v>商业街</v>
          </cell>
          <cell r="C182" t="str">
            <v>建筑面积</v>
          </cell>
          <cell r="D182" t="str">
            <v>m2</v>
          </cell>
          <cell r="E182">
            <v>0</v>
          </cell>
          <cell r="F182">
            <v>0</v>
          </cell>
          <cell r="G182">
            <v>0</v>
          </cell>
          <cell r="H182">
            <v>0</v>
          </cell>
          <cell r="I182">
            <v>0.10999999999999999</v>
          </cell>
          <cell r="J182">
            <v>0</v>
          </cell>
          <cell r="K182">
            <v>0</v>
          </cell>
          <cell r="L182">
            <v>0</v>
          </cell>
          <cell r="M182">
            <v>0</v>
          </cell>
          <cell r="O182" t="str">
            <v>*</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3">
          <cell r="B183" t="str">
            <v>综合楼</v>
          </cell>
          <cell r="C183" t="str">
            <v>建筑面积</v>
          </cell>
          <cell r="D183" t="str">
            <v>m2</v>
          </cell>
          <cell r="E183">
            <v>0</v>
          </cell>
          <cell r="F183">
            <v>0</v>
          </cell>
          <cell r="G183">
            <v>0</v>
          </cell>
          <cell r="H183">
            <v>0</v>
          </cell>
          <cell r="I183">
            <v>0.10999999999999999</v>
          </cell>
          <cell r="J183">
            <v>0</v>
          </cell>
          <cell r="K183">
            <v>0</v>
          </cell>
          <cell r="L183">
            <v>0</v>
          </cell>
          <cell r="M183">
            <v>0</v>
          </cell>
          <cell r="O183" t="str">
            <v>*</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row>
        <row r="184">
          <cell r="B184" t="str">
            <v>写字楼</v>
          </cell>
          <cell r="C184" t="str">
            <v>建筑面积</v>
          </cell>
          <cell r="D184" t="str">
            <v>m2</v>
          </cell>
          <cell r="E184">
            <v>0</v>
          </cell>
          <cell r="F184">
            <v>0</v>
          </cell>
          <cell r="G184">
            <v>0</v>
          </cell>
          <cell r="H184">
            <v>0</v>
          </cell>
          <cell r="I184">
            <v>0.10999999999999999</v>
          </cell>
          <cell r="J184">
            <v>0</v>
          </cell>
          <cell r="K184">
            <v>0</v>
          </cell>
          <cell r="L184">
            <v>0</v>
          </cell>
          <cell r="M184">
            <v>0</v>
          </cell>
          <cell r="O184" t="str">
            <v>*</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row>
        <row r="185">
          <cell r="B185" t="str">
            <v>酒店</v>
          </cell>
          <cell r="C185" t="str">
            <v>建筑面积</v>
          </cell>
          <cell r="D185" t="str">
            <v>m2</v>
          </cell>
          <cell r="E185">
            <v>0</v>
          </cell>
          <cell r="F185">
            <v>0</v>
          </cell>
          <cell r="G185">
            <v>0</v>
          </cell>
          <cell r="H185">
            <v>0</v>
          </cell>
          <cell r="I185">
            <v>0.10999999999999999</v>
          </cell>
          <cell r="J185">
            <v>0</v>
          </cell>
          <cell r="K185">
            <v>0</v>
          </cell>
          <cell r="L185">
            <v>0</v>
          </cell>
          <cell r="M185">
            <v>0</v>
          </cell>
          <cell r="O185" t="str">
            <v>*</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row>
        <row r="186">
          <cell r="B186" t="str">
            <v>医院（自持）</v>
          </cell>
          <cell r="C186" t="str">
            <v>建筑面积</v>
          </cell>
          <cell r="D186" t="str">
            <v>m2</v>
          </cell>
          <cell r="E186">
            <v>0</v>
          </cell>
          <cell r="F186">
            <v>0</v>
          </cell>
          <cell r="G186">
            <v>0</v>
          </cell>
          <cell r="H186">
            <v>0</v>
          </cell>
          <cell r="I186">
            <v>0.10999999999999999</v>
          </cell>
          <cell r="J186">
            <v>0</v>
          </cell>
          <cell r="K186">
            <v>0</v>
          </cell>
          <cell r="L186">
            <v>0</v>
          </cell>
          <cell r="M186">
            <v>0</v>
          </cell>
          <cell r="O186" t="str">
            <v>*</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7">
          <cell r="B187" t="str">
            <v>地上计容车库</v>
          </cell>
          <cell r="C187" t="str">
            <v>建筑面积</v>
          </cell>
          <cell r="D187" t="str">
            <v>m2</v>
          </cell>
          <cell r="E187">
            <v>0</v>
          </cell>
          <cell r="F187">
            <v>0</v>
          </cell>
          <cell r="G187">
            <v>0</v>
          </cell>
          <cell r="H187">
            <v>0</v>
          </cell>
          <cell r="I187">
            <v>0.10999999999999999</v>
          </cell>
          <cell r="J187">
            <v>0</v>
          </cell>
          <cell r="K187">
            <v>0</v>
          </cell>
          <cell r="L187">
            <v>0</v>
          </cell>
          <cell r="M187">
            <v>0</v>
          </cell>
          <cell r="O187" t="str">
            <v>*</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row>
        <row r="188">
          <cell r="B188" t="str">
            <v>非人防地下室</v>
          </cell>
          <cell r="C188" t="str">
            <v>建筑面积</v>
          </cell>
          <cell r="D188" t="str">
            <v>m2</v>
          </cell>
          <cell r="E188">
            <v>0</v>
          </cell>
          <cell r="F188">
            <v>0</v>
          </cell>
          <cell r="G188">
            <v>0</v>
          </cell>
          <cell r="H188">
            <v>0</v>
          </cell>
          <cell r="I188">
            <v>0.10999999999999999</v>
          </cell>
          <cell r="J188">
            <v>0</v>
          </cell>
          <cell r="K188">
            <v>0</v>
          </cell>
          <cell r="L188">
            <v>0</v>
          </cell>
          <cell r="M188">
            <v>0</v>
          </cell>
          <cell r="O188" t="str">
            <v>*</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row>
        <row r="189">
          <cell r="B189" t="str">
            <v>人防地下室</v>
          </cell>
          <cell r="C189" t="str">
            <v>建筑面积</v>
          </cell>
          <cell r="D189" t="str">
            <v>m2</v>
          </cell>
          <cell r="E189">
            <v>0</v>
          </cell>
          <cell r="F189">
            <v>0</v>
          </cell>
          <cell r="G189">
            <v>0</v>
          </cell>
          <cell r="H189">
            <v>0</v>
          </cell>
          <cell r="I189">
            <v>0.10999999999999999</v>
          </cell>
          <cell r="J189">
            <v>0</v>
          </cell>
          <cell r="K189">
            <v>0</v>
          </cell>
          <cell r="L189">
            <v>0</v>
          </cell>
          <cell r="M189">
            <v>0</v>
          </cell>
          <cell r="O189" t="str">
            <v>*</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row>
        <row r="190">
          <cell r="B190" t="str">
            <v>独立会所（综合楼）</v>
          </cell>
          <cell r="C190" t="str">
            <v>建筑面积</v>
          </cell>
          <cell r="D190" t="str">
            <v>m2</v>
          </cell>
          <cell r="E190">
            <v>0</v>
          </cell>
          <cell r="F190">
            <v>0</v>
          </cell>
          <cell r="G190">
            <v>0</v>
          </cell>
          <cell r="H190">
            <v>0</v>
          </cell>
          <cell r="I190">
            <v>0.10999999999999999</v>
          </cell>
          <cell r="J190">
            <v>0</v>
          </cell>
          <cell r="K190">
            <v>0</v>
          </cell>
          <cell r="L190">
            <v>0</v>
          </cell>
          <cell r="M190">
            <v>0</v>
          </cell>
          <cell r="O190" t="str">
            <v>*</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row>
        <row r="191">
          <cell r="B191" t="str">
            <v>活动中心</v>
          </cell>
          <cell r="C191" t="str">
            <v>建筑面积</v>
          </cell>
          <cell r="D191" t="str">
            <v>m2</v>
          </cell>
          <cell r="E191">
            <v>0</v>
          </cell>
          <cell r="F191">
            <v>0</v>
          </cell>
          <cell r="G191">
            <v>0</v>
          </cell>
          <cell r="H191">
            <v>0</v>
          </cell>
          <cell r="I191">
            <v>0.10999999999999999</v>
          </cell>
          <cell r="J191">
            <v>0</v>
          </cell>
          <cell r="K191">
            <v>0</v>
          </cell>
          <cell r="L191">
            <v>0</v>
          </cell>
          <cell r="M191">
            <v>0</v>
          </cell>
          <cell r="O191" t="str">
            <v>*</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row>
        <row r="192">
          <cell r="B192" t="str">
            <v>商贸市场</v>
          </cell>
          <cell r="C192" t="str">
            <v>建筑面积</v>
          </cell>
          <cell r="D192" t="str">
            <v>m2</v>
          </cell>
          <cell r="E192">
            <v>0</v>
          </cell>
          <cell r="F192">
            <v>0</v>
          </cell>
          <cell r="G192">
            <v>0</v>
          </cell>
          <cell r="H192">
            <v>0</v>
          </cell>
          <cell r="I192">
            <v>0.10999999999999999</v>
          </cell>
          <cell r="J192">
            <v>0</v>
          </cell>
          <cell r="K192">
            <v>0</v>
          </cell>
          <cell r="L192">
            <v>0</v>
          </cell>
          <cell r="M192">
            <v>0</v>
          </cell>
          <cell r="O192" t="str">
            <v>*</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row>
        <row r="193">
          <cell r="B193" t="str">
            <v>医院</v>
          </cell>
          <cell r="C193" t="str">
            <v>建筑面积</v>
          </cell>
          <cell r="D193" t="str">
            <v>m2</v>
          </cell>
          <cell r="E193">
            <v>0</v>
          </cell>
          <cell r="F193">
            <v>0</v>
          </cell>
          <cell r="G193">
            <v>0</v>
          </cell>
          <cell r="H193">
            <v>0</v>
          </cell>
          <cell r="I193">
            <v>0.10999999999999999</v>
          </cell>
          <cell r="J193">
            <v>0</v>
          </cell>
          <cell r="K193">
            <v>0</v>
          </cell>
          <cell r="L193">
            <v>0</v>
          </cell>
          <cell r="M193">
            <v>0</v>
          </cell>
          <cell r="O193" t="str">
            <v>*</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row>
        <row r="194">
          <cell r="B194" t="str">
            <v>幼儿园</v>
          </cell>
          <cell r="C194" t="str">
            <v>建筑面积</v>
          </cell>
          <cell r="D194" t="str">
            <v>m2</v>
          </cell>
          <cell r="E194">
            <v>0</v>
          </cell>
          <cell r="F194">
            <v>0</v>
          </cell>
          <cell r="G194">
            <v>0</v>
          </cell>
          <cell r="H194">
            <v>0</v>
          </cell>
          <cell r="I194">
            <v>0.10999999999999999</v>
          </cell>
          <cell r="J194">
            <v>0</v>
          </cell>
          <cell r="K194">
            <v>0</v>
          </cell>
          <cell r="L194">
            <v>0</v>
          </cell>
          <cell r="M194">
            <v>0</v>
          </cell>
          <cell r="O194" t="str">
            <v>*</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row>
        <row r="195">
          <cell r="B195" t="str">
            <v>学校</v>
          </cell>
          <cell r="C195" t="str">
            <v>建筑面积</v>
          </cell>
          <cell r="D195" t="str">
            <v>m2</v>
          </cell>
          <cell r="E195">
            <v>0</v>
          </cell>
          <cell r="F195">
            <v>0</v>
          </cell>
          <cell r="G195">
            <v>0</v>
          </cell>
          <cell r="H195">
            <v>0</v>
          </cell>
          <cell r="I195">
            <v>0.10999999999999999</v>
          </cell>
          <cell r="J195">
            <v>0</v>
          </cell>
          <cell r="K195">
            <v>0</v>
          </cell>
          <cell r="L195">
            <v>0</v>
          </cell>
          <cell r="M195">
            <v>0</v>
          </cell>
          <cell r="O195" t="str">
            <v>*</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row>
        <row r="196">
          <cell r="B196" t="str">
            <v>员工宿舍</v>
          </cell>
          <cell r="C196" t="str">
            <v>建筑面积</v>
          </cell>
          <cell r="D196" t="str">
            <v>m2</v>
          </cell>
          <cell r="E196">
            <v>0</v>
          </cell>
          <cell r="F196">
            <v>0</v>
          </cell>
          <cell r="G196">
            <v>0</v>
          </cell>
          <cell r="H196">
            <v>0</v>
          </cell>
          <cell r="I196">
            <v>0.10999999999999999</v>
          </cell>
          <cell r="J196">
            <v>0</v>
          </cell>
          <cell r="K196">
            <v>0</v>
          </cell>
          <cell r="L196">
            <v>0</v>
          </cell>
          <cell r="M196">
            <v>0</v>
          </cell>
          <cell r="O196" t="str">
            <v>*</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row>
        <row r="197">
          <cell r="A197" t="str">
            <v>03.01.02</v>
          </cell>
          <cell r="B197" t="str">
            <v>地下室结构及粗装修</v>
          </cell>
          <cell r="C197" t="str">
            <v>地下建筑面积</v>
          </cell>
          <cell r="D197" t="str">
            <v>m2</v>
          </cell>
          <cell r="E197">
            <v>241586.90000000002</v>
          </cell>
          <cell r="F197">
            <v>822.06173313370857</v>
          </cell>
          <cell r="G197">
            <v>198599345.71639997</v>
          </cell>
          <cell r="I197">
            <v>0.10999999999999989</v>
          </cell>
          <cell r="J197">
            <v>740.59615597631409</v>
          </cell>
          <cell r="K197">
            <v>81.465577157394478</v>
          </cell>
          <cell r="L197">
            <v>178918329.47423422</v>
          </cell>
          <cell r="M197">
            <v>19681016.242165744</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152889814.15891892</v>
          </cell>
          <cell r="AH197">
            <v>26028515.315315321</v>
          </cell>
          <cell r="AI197">
            <v>0</v>
          </cell>
          <cell r="AJ197">
            <v>0</v>
          </cell>
          <cell r="AK197">
            <v>0</v>
          </cell>
          <cell r="AL197">
            <v>0</v>
          </cell>
          <cell r="AM197">
            <v>0</v>
          </cell>
          <cell r="AN197">
            <v>0</v>
          </cell>
          <cell r="AO197">
            <v>0</v>
          </cell>
          <cell r="AP197">
            <v>0</v>
          </cell>
          <cell r="AQ197">
            <v>0</v>
          </cell>
          <cell r="AR197">
            <v>178918329.47423422</v>
          </cell>
          <cell r="AS197">
            <v>0</v>
          </cell>
        </row>
        <row r="198">
          <cell r="B198" t="str">
            <v>地下室结构</v>
          </cell>
          <cell r="C198" t="str">
            <v>地下建筑面积</v>
          </cell>
          <cell r="D198" t="str">
            <v>m2</v>
          </cell>
          <cell r="E198">
            <v>239586.90000000002</v>
          </cell>
          <cell r="F198">
            <v>674.52126632966986</v>
          </cell>
          <cell r="G198">
            <v>161606459.18399999</v>
          </cell>
          <cell r="I198">
            <v>0.10999999999999995</v>
          </cell>
          <cell r="J198">
            <v>607.67681651321607</v>
          </cell>
          <cell r="K198">
            <v>66.844449816453789</v>
          </cell>
          <cell r="L198">
            <v>145591404.67027026</v>
          </cell>
          <cell r="M198">
            <v>16015054.513729721</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127360485.75135136</v>
          </cell>
          <cell r="AH198">
            <v>18230918.918918923</v>
          </cell>
          <cell r="AI198">
            <v>0</v>
          </cell>
          <cell r="AJ198">
            <v>0</v>
          </cell>
          <cell r="AK198">
            <v>0</v>
          </cell>
          <cell r="AL198">
            <v>0</v>
          </cell>
          <cell r="AM198">
            <v>0</v>
          </cell>
          <cell r="AN198">
            <v>0</v>
          </cell>
          <cell r="AO198">
            <v>0</v>
          </cell>
          <cell r="AP198">
            <v>0</v>
          </cell>
          <cell r="AQ198">
            <v>0</v>
          </cell>
          <cell r="AR198">
            <v>145591404.67027026</v>
          </cell>
          <cell r="AS198">
            <v>0</v>
          </cell>
        </row>
        <row r="199">
          <cell r="B199">
            <v>100</v>
          </cell>
          <cell r="C199" t="str">
            <v>地下建筑面积</v>
          </cell>
          <cell r="D199" t="str">
            <v>m2</v>
          </cell>
          <cell r="E199">
            <v>0</v>
          </cell>
          <cell r="F199">
            <v>0</v>
          </cell>
          <cell r="G199">
            <v>0</v>
          </cell>
          <cell r="H199">
            <v>0</v>
          </cell>
          <cell r="I199">
            <v>0.10999999999999999</v>
          </cell>
          <cell r="J199">
            <v>0</v>
          </cell>
          <cell r="K199">
            <v>0</v>
          </cell>
          <cell r="L199">
            <v>0</v>
          </cell>
          <cell r="M199">
            <v>0</v>
          </cell>
          <cell r="N199" t="str">
            <v>指标钢筋含量按0.05t/m2，单价按5300元/t,；混凝土按0.47m3/m2，单价按588元/m3，措施费按527元/m2含模板和脚手架等费用</v>
          </cell>
          <cell r="O199" t="str">
            <v>*</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row>
        <row r="200">
          <cell r="B200">
            <v>125</v>
          </cell>
          <cell r="C200" t="str">
            <v>地下建筑面积</v>
          </cell>
          <cell r="D200" t="str">
            <v>m2</v>
          </cell>
          <cell r="E200">
            <v>26670</v>
          </cell>
          <cell r="F200">
            <v>0</v>
          </cell>
          <cell r="G200">
            <v>0</v>
          </cell>
          <cell r="H200">
            <v>0</v>
          </cell>
          <cell r="I200">
            <v>0.10999999999999999</v>
          </cell>
          <cell r="J200">
            <v>0</v>
          </cell>
          <cell r="K200">
            <v>0</v>
          </cell>
          <cell r="L200">
            <v>0</v>
          </cell>
          <cell r="M200">
            <v>0</v>
          </cell>
          <cell r="O200" t="str">
            <v>*</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row>
        <row r="201">
          <cell r="B201">
            <v>150</v>
          </cell>
          <cell r="C201" t="str">
            <v>地下建筑面积</v>
          </cell>
          <cell r="D201" t="str">
            <v>m2</v>
          </cell>
          <cell r="E201">
            <v>2338</v>
          </cell>
          <cell r="F201">
            <v>0</v>
          </cell>
          <cell r="G201">
            <v>0</v>
          </cell>
          <cell r="H201">
            <v>0</v>
          </cell>
          <cell r="I201">
            <v>0.10999999999999999</v>
          </cell>
          <cell r="J201">
            <v>0</v>
          </cell>
          <cell r="K201">
            <v>0</v>
          </cell>
          <cell r="L201">
            <v>0</v>
          </cell>
          <cell r="M201">
            <v>0</v>
          </cell>
          <cell r="N201" t="str">
            <v>指标钢筋含量按0.05t/m2，单价按5300元/t,；混凝土按0.47m3/m2，单价按588元/m3，措施费按527元/m2含模板和脚手架等费用</v>
          </cell>
          <cell r="O201" t="str">
            <v>*</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row>
        <row r="202">
          <cell r="B202" t="str">
            <v>1T4(30F)</v>
          </cell>
          <cell r="C202" t="str">
            <v>地下建筑面积</v>
          </cell>
          <cell r="D202" t="str">
            <v>m2</v>
          </cell>
          <cell r="E202">
            <v>100279.12</v>
          </cell>
          <cell r="F202">
            <v>0</v>
          </cell>
          <cell r="G202">
            <v>0</v>
          </cell>
          <cell r="H202">
            <v>0</v>
          </cell>
          <cell r="I202">
            <v>0.10999999999999999</v>
          </cell>
          <cell r="J202">
            <v>0</v>
          </cell>
          <cell r="K202">
            <v>0</v>
          </cell>
          <cell r="L202">
            <v>0</v>
          </cell>
          <cell r="M202">
            <v>0</v>
          </cell>
          <cell r="O202" t="str">
            <v>*</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row>
        <row r="203">
          <cell r="B203" t="str">
            <v>1T3(30F)</v>
          </cell>
          <cell r="C203" t="str">
            <v>地下建筑面积</v>
          </cell>
          <cell r="D203" t="str">
            <v>m2</v>
          </cell>
          <cell r="E203">
            <v>23428.2</v>
          </cell>
          <cell r="F203">
            <v>0</v>
          </cell>
          <cell r="G203">
            <v>0</v>
          </cell>
          <cell r="H203">
            <v>0</v>
          </cell>
          <cell r="I203">
            <v>0.10999999999999999</v>
          </cell>
          <cell r="J203">
            <v>0</v>
          </cell>
          <cell r="K203">
            <v>0</v>
          </cell>
          <cell r="L203">
            <v>0</v>
          </cell>
          <cell r="M203">
            <v>0</v>
          </cell>
          <cell r="N203" t="str">
            <v>指标钢筋含量按0.05t/m2，单价按5300元/t,；混凝土按0.47m3/m2，单价按588元/m3，措施费按527元/m2含模板和脚手架等费用</v>
          </cell>
          <cell r="O203" t="str">
            <v>*</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row>
        <row r="204">
          <cell r="B204" t="str">
            <v>LOFT(31F)</v>
          </cell>
          <cell r="C204" t="str">
            <v>地下建筑面积</v>
          </cell>
          <cell r="D204" t="str">
            <v>m2</v>
          </cell>
          <cell r="E204">
            <v>0</v>
          </cell>
          <cell r="F204">
            <v>0</v>
          </cell>
          <cell r="G204">
            <v>0</v>
          </cell>
          <cell r="H204">
            <v>0</v>
          </cell>
          <cell r="I204">
            <v>0.10999999999999999</v>
          </cell>
          <cell r="J204">
            <v>0</v>
          </cell>
          <cell r="K204">
            <v>0</v>
          </cell>
          <cell r="L204">
            <v>0</v>
          </cell>
          <cell r="M204">
            <v>0</v>
          </cell>
          <cell r="O204" t="str">
            <v>*</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row>
        <row r="205">
          <cell r="B205" t="str">
            <v>1T2(31F)</v>
          </cell>
          <cell r="C205" t="str">
            <v>地下建筑面积</v>
          </cell>
          <cell r="D205" t="str">
            <v>m2</v>
          </cell>
          <cell r="E205">
            <v>0</v>
          </cell>
          <cell r="F205">
            <v>0</v>
          </cell>
          <cell r="G205">
            <v>0</v>
          </cell>
          <cell r="H205">
            <v>0</v>
          </cell>
          <cell r="I205">
            <v>0.10999999999999999</v>
          </cell>
          <cell r="J205">
            <v>0</v>
          </cell>
          <cell r="K205">
            <v>0</v>
          </cell>
          <cell r="L205">
            <v>0</v>
          </cell>
          <cell r="M205">
            <v>0</v>
          </cell>
          <cell r="O205" t="str">
            <v>*</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row>
        <row r="206">
          <cell r="B206" t="str">
            <v>1T8(32F)</v>
          </cell>
          <cell r="C206" t="str">
            <v>地下建筑面积</v>
          </cell>
          <cell r="D206" t="str">
            <v>m2</v>
          </cell>
          <cell r="E206">
            <v>0</v>
          </cell>
          <cell r="F206">
            <v>0</v>
          </cell>
          <cell r="G206">
            <v>0</v>
          </cell>
          <cell r="H206">
            <v>0</v>
          </cell>
          <cell r="I206">
            <v>0.10999999999999999</v>
          </cell>
          <cell r="J206">
            <v>0</v>
          </cell>
          <cell r="K206">
            <v>0</v>
          </cell>
          <cell r="L206">
            <v>0</v>
          </cell>
          <cell r="M206">
            <v>0</v>
          </cell>
          <cell r="O206" t="str">
            <v>*</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row>
        <row r="207">
          <cell r="B207" t="str">
            <v>中高层洋房</v>
          </cell>
          <cell r="C207" t="str">
            <v>地下建筑面积</v>
          </cell>
          <cell r="D207" t="str">
            <v>m2</v>
          </cell>
          <cell r="E207">
            <v>0</v>
          </cell>
          <cell r="F207">
            <v>0</v>
          </cell>
          <cell r="G207">
            <v>0</v>
          </cell>
          <cell r="H207">
            <v>0</v>
          </cell>
          <cell r="I207">
            <v>0.10999999999999999</v>
          </cell>
          <cell r="J207">
            <v>0</v>
          </cell>
          <cell r="K207">
            <v>0</v>
          </cell>
          <cell r="L207">
            <v>0</v>
          </cell>
          <cell r="M207">
            <v>0</v>
          </cell>
          <cell r="O207" t="str">
            <v>*</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row>
        <row r="208">
          <cell r="B208" t="str">
            <v>115高层洋房</v>
          </cell>
          <cell r="C208" t="str">
            <v>地下建筑面积</v>
          </cell>
          <cell r="D208" t="str">
            <v>m2</v>
          </cell>
          <cell r="E208">
            <v>0</v>
          </cell>
          <cell r="F208">
            <v>0</v>
          </cell>
          <cell r="G208">
            <v>0</v>
          </cell>
          <cell r="H208">
            <v>0</v>
          </cell>
          <cell r="I208">
            <v>0.10999999999999999</v>
          </cell>
          <cell r="J208">
            <v>0</v>
          </cell>
          <cell r="K208">
            <v>0</v>
          </cell>
          <cell r="L208">
            <v>0</v>
          </cell>
          <cell r="M208">
            <v>0</v>
          </cell>
          <cell r="O208" t="str">
            <v>*</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row>
        <row r="209">
          <cell r="B209" t="str">
            <v>超高层洋房</v>
          </cell>
          <cell r="C209" t="str">
            <v>地下建筑面积</v>
          </cell>
          <cell r="D209" t="str">
            <v>m2</v>
          </cell>
          <cell r="E209">
            <v>0</v>
          </cell>
          <cell r="F209">
            <v>0</v>
          </cell>
          <cell r="G209">
            <v>0</v>
          </cell>
          <cell r="H209">
            <v>0</v>
          </cell>
          <cell r="I209">
            <v>0.10999999999999999</v>
          </cell>
          <cell r="J209">
            <v>0</v>
          </cell>
          <cell r="K209">
            <v>0</v>
          </cell>
          <cell r="L209">
            <v>0</v>
          </cell>
          <cell r="M209">
            <v>0</v>
          </cell>
          <cell r="O209" t="str">
            <v>*</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row>
        <row r="210">
          <cell r="B210" t="str">
            <v>公寓</v>
          </cell>
          <cell r="C210" t="str">
            <v>地下建筑面积</v>
          </cell>
          <cell r="D210" t="str">
            <v>m2</v>
          </cell>
          <cell r="E210">
            <v>0</v>
          </cell>
          <cell r="F210">
            <v>0</v>
          </cell>
          <cell r="G210">
            <v>0</v>
          </cell>
          <cell r="H210">
            <v>0</v>
          </cell>
          <cell r="I210">
            <v>0.10999999999999999</v>
          </cell>
          <cell r="J210">
            <v>0</v>
          </cell>
          <cell r="K210">
            <v>0</v>
          </cell>
          <cell r="L210">
            <v>0</v>
          </cell>
          <cell r="M210">
            <v>0</v>
          </cell>
          <cell r="O210" t="str">
            <v>*</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row>
        <row r="211">
          <cell r="B211" t="str">
            <v>底商</v>
          </cell>
          <cell r="C211" t="str">
            <v>地下建筑面积</v>
          </cell>
          <cell r="D211" t="str">
            <v>m2</v>
          </cell>
          <cell r="E211">
            <v>0</v>
          </cell>
          <cell r="F211">
            <v>0</v>
          </cell>
          <cell r="G211">
            <v>0</v>
          </cell>
          <cell r="H211">
            <v>0</v>
          </cell>
          <cell r="I211">
            <v>0.10999999999999999</v>
          </cell>
          <cell r="J211">
            <v>0</v>
          </cell>
          <cell r="K211">
            <v>0</v>
          </cell>
          <cell r="L211">
            <v>0</v>
          </cell>
          <cell r="M211">
            <v>0</v>
          </cell>
          <cell r="O211" t="str">
            <v>*</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row>
        <row r="212">
          <cell r="B212" t="str">
            <v>商业街</v>
          </cell>
          <cell r="C212" t="str">
            <v>地下建筑面积</v>
          </cell>
          <cell r="D212" t="str">
            <v>m2</v>
          </cell>
          <cell r="E212">
            <v>0</v>
          </cell>
          <cell r="F212">
            <v>0</v>
          </cell>
          <cell r="G212">
            <v>0</v>
          </cell>
          <cell r="H212">
            <v>0</v>
          </cell>
          <cell r="I212">
            <v>0.10999999999999999</v>
          </cell>
          <cell r="J212">
            <v>0</v>
          </cell>
          <cell r="K212">
            <v>0</v>
          </cell>
          <cell r="L212">
            <v>0</v>
          </cell>
          <cell r="M212">
            <v>0</v>
          </cell>
          <cell r="O212" t="str">
            <v>*</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row>
        <row r="213">
          <cell r="B213" t="str">
            <v>综合楼</v>
          </cell>
          <cell r="C213" t="str">
            <v>地下建筑面积</v>
          </cell>
          <cell r="D213" t="str">
            <v>m2</v>
          </cell>
          <cell r="E213">
            <v>0</v>
          </cell>
          <cell r="F213">
            <v>0</v>
          </cell>
          <cell r="G213">
            <v>0</v>
          </cell>
          <cell r="H213">
            <v>0</v>
          </cell>
          <cell r="I213">
            <v>0.10999999999999999</v>
          </cell>
          <cell r="J213">
            <v>0</v>
          </cell>
          <cell r="K213">
            <v>0</v>
          </cell>
          <cell r="L213">
            <v>0</v>
          </cell>
          <cell r="M213">
            <v>0</v>
          </cell>
          <cell r="O213" t="str">
            <v>*</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row>
        <row r="214">
          <cell r="B214" t="str">
            <v>写字楼</v>
          </cell>
          <cell r="C214" t="str">
            <v>地下建筑面积</v>
          </cell>
          <cell r="D214" t="str">
            <v>m2</v>
          </cell>
          <cell r="E214">
            <v>0</v>
          </cell>
          <cell r="F214">
            <v>0</v>
          </cell>
          <cell r="G214">
            <v>0</v>
          </cell>
          <cell r="H214">
            <v>0</v>
          </cell>
          <cell r="I214">
            <v>0.10999999999999999</v>
          </cell>
          <cell r="J214">
            <v>0</v>
          </cell>
          <cell r="K214">
            <v>0</v>
          </cell>
          <cell r="L214">
            <v>0</v>
          </cell>
          <cell r="M214">
            <v>0</v>
          </cell>
          <cell r="O214" t="str">
            <v>*</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row>
        <row r="215">
          <cell r="B215" t="str">
            <v>酒店</v>
          </cell>
          <cell r="C215" t="str">
            <v>地下建筑面积</v>
          </cell>
          <cell r="D215" t="str">
            <v>m2</v>
          </cell>
          <cell r="E215">
            <v>0</v>
          </cell>
          <cell r="F215">
            <v>0</v>
          </cell>
          <cell r="G215">
            <v>0</v>
          </cell>
          <cell r="H215">
            <v>0</v>
          </cell>
          <cell r="I215">
            <v>0.10999999999999999</v>
          </cell>
          <cell r="J215">
            <v>0</v>
          </cell>
          <cell r="K215">
            <v>0</v>
          </cell>
          <cell r="L215">
            <v>0</v>
          </cell>
          <cell r="M215">
            <v>0</v>
          </cell>
          <cell r="O215" t="str">
            <v>*</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row>
        <row r="216">
          <cell r="B216" t="str">
            <v>医院（自持）</v>
          </cell>
          <cell r="C216" t="str">
            <v>地下建筑面积</v>
          </cell>
          <cell r="D216" t="str">
            <v>m2</v>
          </cell>
          <cell r="E216">
            <v>0</v>
          </cell>
          <cell r="F216">
            <v>0</v>
          </cell>
          <cell r="G216">
            <v>0</v>
          </cell>
          <cell r="H216">
            <v>0</v>
          </cell>
          <cell r="I216">
            <v>0.10999999999999999</v>
          </cell>
          <cell r="J216">
            <v>0</v>
          </cell>
          <cell r="K216">
            <v>0</v>
          </cell>
          <cell r="L216">
            <v>0</v>
          </cell>
          <cell r="M216">
            <v>0</v>
          </cell>
          <cell r="O216" t="str">
            <v>*</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B217" t="str">
            <v>地上计容车库</v>
          </cell>
          <cell r="C217" t="str">
            <v>地下建筑面积</v>
          </cell>
          <cell r="D217" t="str">
            <v>m2</v>
          </cell>
          <cell r="E217">
            <v>0</v>
          </cell>
          <cell r="F217">
            <v>0</v>
          </cell>
          <cell r="G217">
            <v>0</v>
          </cell>
          <cell r="H217">
            <v>0</v>
          </cell>
          <cell r="I217">
            <v>0.10999999999999999</v>
          </cell>
          <cell r="J217">
            <v>0</v>
          </cell>
          <cell r="K217">
            <v>0</v>
          </cell>
          <cell r="L217">
            <v>0</v>
          </cell>
          <cell r="M217">
            <v>0</v>
          </cell>
          <cell r="O217" t="str">
            <v>*</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B218" t="str">
            <v>非人防地下室</v>
          </cell>
          <cell r="C218" t="str">
            <v>地下建筑面积</v>
          </cell>
          <cell r="D218" t="str">
            <v>m2</v>
          </cell>
          <cell r="E218">
            <v>77471.58</v>
          </cell>
          <cell r="F218">
            <v>1824.8</v>
          </cell>
          <cell r="G218">
            <v>141370139.18399999</v>
          </cell>
          <cell r="H218">
            <v>0</v>
          </cell>
          <cell r="I218">
            <v>0.10999999999999999</v>
          </cell>
          <cell r="J218">
            <v>1643.963963963964</v>
          </cell>
          <cell r="K218">
            <v>180.83603603603592</v>
          </cell>
          <cell r="L218">
            <v>127360485.75135136</v>
          </cell>
          <cell r="M218">
            <v>14009653.432648629</v>
          </cell>
          <cell r="O218" t="str">
            <v>*</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127360485.75135136</v>
          </cell>
          <cell r="AH218">
            <v>0</v>
          </cell>
          <cell r="AI218">
            <v>0</v>
          </cell>
          <cell r="AJ218">
            <v>0</v>
          </cell>
          <cell r="AK218">
            <v>0</v>
          </cell>
          <cell r="AL218">
            <v>0</v>
          </cell>
          <cell r="AM218">
            <v>0</v>
          </cell>
          <cell r="AN218">
            <v>0</v>
          </cell>
          <cell r="AO218">
            <v>0</v>
          </cell>
          <cell r="AP218">
            <v>0</v>
          </cell>
          <cell r="AQ218">
            <v>0</v>
          </cell>
          <cell r="AR218">
            <v>127360485.75135136</v>
          </cell>
          <cell r="AS218">
            <v>0</v>
          </cell>
        </row>
        <row r="219">
          <cell r="B219" t="str">
            <v>人防地下室</v>
          </cell>
          <cell r="C219" t="str">
            <v>地下建筑面积</v>
          </cell>
          <cell r="D219" t="str">
            <v>m2</v>
          </cell>
          <cell r="E219">
            <v>9400</v>
          </cell>
          <cell r="F219">
            <v>2152.8000000000002</v>
          </cell>
          <cell r="G219">
            <v>20236320</v>
          </cell>
          <cell r="H219">
            <v>0</v>
          </cell>
          <cell r="I219">
            <v>0.10999999999999999</v>
          </cell>
          <cell r="J219">
            <v>1939.4594594594598</v>
          </cell>
          <cell r="K219">
            <v>213.34054054054036</v>
          </cell>
          <cell r="L219">
            <v>18230918.918918923</v>
          </cell>
          <cell r="M219">
            <v>2005401.0810810775</v>
          </cell>
          <cell r="O219" t="str">
            <v>*</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18230918.918918923</v>
          </cell>
          <cell r="AI219">
            <v>0</v>
          </cell>
          <cell r="AJ219">
            <v>0</v>
          </cell>
          <cell r="AK219">
            <v>0</v>
          </cell>
          <cell r="AL219">
            <v>0</v>
          </cell>
          <cell r="AM219">
            <v>0</v>
          </cell>
          <cell r="AN219">
            <v>0</v>
          </cell>
          <cell r="AO219">
            <v>0</v>
          </cell>
          <cell r="AP219">
            <v>0</v>
          </cell>
          <cell r="AQ219">
            <v>0</v>
          </cell>
          <cell r="AR219">
            <v>18230918.918918923</v>
          </cell>
          <cell r="AS219">
            <v>0</v>
          </cell>
        </row>
        <row r="220">
          <cell r="B220" t="str">
            <v>独立会所（综合楼）</v>
          </cell>
          <cell r="C220" t="str">
            <v>地下建筑面积</v>
          </cell>
          <cell r="D220" t="str">
            <v>m2</v>
          </cell>
          <cell r="E220">
            <v>0</v>
          </cell>
          <cell r="F220">
            <v>0</v>
          </cell>
          <cell r="G220">
            <v>0</v>
          </cell>
          <cell r="H220">
            <v>0</v>
          </cell>
          <cell r="I220">
            <v>0.10999999999999999</v>
          </cell>
          <cell r="J220">
            <v>0</v>
          </cell>
          <cell r="K220">
            <v>0</v>
          </cell>
          <cell r="L220">
            <v>0</v>
          </cell>
          <cell r="M220">
            <v>0</v>
          </cell>
          <cell r="O220" t="str">
            <v>*</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1">
          <cell r="B221" t="str">
            <v>活动中心</v>
          </cell>
          <cell r="C221" t="str">
            <v>地下建筑面积</v>
          </cell>
          <cell r="D221" t="str">
            <v>m2</v>
          </cell>
          <cell r="E221">
            <v>0</v>
          </cell>
          <cell r="F221">
            <v>0</v>
          </cell>
          <cell r="G221">
            <v>0</v>
          </cell>
          <cell r="H221">
            <v>0</v>
          </cell>
          <cell r="I221">
            <v>0.10999999999999999</v>
          </cell>
          <cell r="J221">
            <v>0</v>
          </cell>
          <cell r="K221">
            <v>0</v>
          </cell>
          <cell r="L221">
            <v>0</v>
          </cell>
          <cell r="M221">
            <v>0</v>
          </cell>
          <cell r="O221" t="str">
            <v>*</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row>
        <row r="222">
          <cell r="B222" t="str">
            <v>商贸市场</v>
          </cell>
          <cell r="C222" t="str">
            <v>地下建筑面积</v>
          </cell>
          <cell r="D222" t="str">
            <v>m2</v>
          </cell>
          <cell r="E222">
            <v>0</v>
          </cell>
          <cell r="F222">
            <v>0</v>
          </cell>
          <cell r="G222">
            <v>0</v>
          </cell>
          <cell r="H222">
            <v>0</v>
          </cell>
          <cell r="I222">
            <v>0.10999999999999999</v>
          </cell>
          <cell r="J222">
            <v>0</v>
          </cell>
          <cell r="K222">
            <v>0</v>
          </cell>
          <cell r="L222">
            <v>0</v>
          </cell>
          <cell r="M222">
            <v>0</v>
          </cell>
          <cell r="O222" t="str">
            <v>*</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B223" t="str">
            <v>医院</v>
          </cell>
          <cell r="C223" t="str">
            <v>地下建筑面积</v>
          </cell>
          <cell r="D223" t="str">
            <v>m2</v>
          </cell>
          <cell r="E223">
            <v>0</v>
          </cell>
          <cell r="F223">
            <v>0</v>
          </cell>
          <cell r="G223">
            <v>0</v>
          </cell>
          <cell r="H223">
            <v>0</v>
          </cell>
          <cell r="I223">
            <v>0.10999999999999999</v>
          </cell>
          <cell r="J223">
            <v>0</v>
          </cell>
          <cell r="K223">
            <v>0</v>
          </cell>
          <cell r="L223">
            <v>0</v>
          </cell>
          <cell r="M223">
            <v>0</v>
          </cell>
          <cell r="O223" t="str">
            <v>*</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B224" t="str">
            <v>幼儿园</v>
          </cell>
          <cell r="C224" t="str">
            <v>地下建筑面积</v>
          </cell>
          <cell r="D224" t="str">
            <v>m2</v>
          </cell>
          <cell r="E224">
            <v>0</v>
          </cell>
          <cell r="F224">
            <v>0</v>
          </cell>
          <cell r="G224">
            <v>0</v>
          </cell>
          <cell r="H224">
            <v>0</v>
          </cell>
          <cell r="I224">
            <v>0.10999999999999999</v>
          </cell>
          <cell r="J224">
            <v>0</v>
          </cell>
          <cell r="K224">
            <v>0</v>
          </cell>
          <cell r="L224">
            <v>0</v>
          </cell>
          <cell r="M224">
            <v>0</v>
          </cell>
          <cell r="O224" t="str">
            <v>*</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B225" t="str">
            <v>学校</v>
          </cell>
          <cell r="C225" t="str">
            <v>地下建筑面积</v>
          </cell>
          <cell r="D225" t="str">
            <v>m2</v>
          </cell>
          <cell r="E225">
            <v>0</v>
          </cell>
          <cell r="F225">
            <v>0</v>
          </cell>
          <cell r="G225">
            <v>0</v>
          </cell>
          <cell r="H225">
            <v>0</v>
          </cell>
          <cell r="I225">
            <v>0.10999999999999999</v>
          </cell>
          <cell r="J225">
            <v>0</v>
          </cell>
          <cell r="K225">
            <v>0</v>
          </cell>
          <cell r="L225">
            <v>0</v>
          </cell>
          <cell r="M225">
            <v>0</v>
          </cell>
          <cell r="O225" t="str">
            <v>*</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B226" t="str">
            <v>员工宿舍</v>
          </cell>
          <cell r="C226" t="str">
            <v>地下建筑面积</v>
          </cell>
          <cell r="D226" t="str">
            <v>m2</v>
          </cell>
          <cell r="E226">
            <v>0</v>
          </cell>
          <cell r="F226">
            <v>0</v>
          </cell>
          <cell r="G226">
            <v>0</v>
          </cell>
          <cell r="H226">
            <v>0</v>
          </cell>
          <cell r="I226">
            <v>0.10999999999999999</v>
          </cell>
          <cell r="J226">
            <v>0</v>
          </cell>
          <cell r="K226">
            <v>0</v>
          </cell>
          <cell r="L226">
            <v>0</v>
          </cell>
          <cell r="M226">
            <v>0</v>
          </cell>
          <cell r="O226" t="str">
            <v>*</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B227" t="str">
            <v>地下室粗装修</v>
          </cell>
          <cell r="C227" t="str">
            <v>地下建筑面积</v>
          </cell>
          <cell r="D227" t="str">
            <v>m2</v>
          </cell>
          <cell r="E227">
            <v>239586.90000000002</v>
          </cell>
          <cell r="F227">
            <v>132.82398383384063</v>
          </cell>
          <cell r="G227">
            <v>31822886.532399997</v>
          </cell>
          <cell r="I227">
            <v>0.1099999999999999</v>
          </cell>
          <cell r="J227">
            <v>119.66124669715374</v>
          </cell>
          <cell r="K227">
            <v>13.162737136686886</v>
          </cell>
          <cell r="L227">
            <v>28669267.146306306</v>
          </cell>
          <cell r="M227">
            <v>3153619.386093691</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25529328.407567568</v>
          </cell>
          <cell r="AH227">
            <v>3139938.7387387385</v>
          </cell>
          <cell r="AI227">
            <v>0</v>
          </cell>
          <cell r="AJ227">
            <v>0</v>
          </cell>
          <cell r="AK227">
            <v>0</v>
          </cell>
          <cell r="AL227">
            <v>0</v>
          </cell>
          <cell r="AM227">
            <v>0</v>
          </cell>
          <cell r="AN227">
            <v>0</v>
          </cell>
          <cell r="AO227">
            <v>0</v>
          </cell>
          <cell r="AP227">
            <v>0</v>
          </cell>
          <cell r="AQ227">
            <v>0</v>
          </cell>
          <cell r="AR227">
            <v>28669267.146306306</v>
          </cell>
          <cell r="AS227">
            <v>0</v>
          </cell>
        </row>
        <row r="228">
          <cell r="B228">
            <v>100</v>
          </cell>
          <cell r="C228" t="str">
            <v>地下建筑面积</v>
          </cell>
          <cell r="D228" t="str">
            <v>m2</v>
          </cell>
          <cell r="E228">
            <v>0</v>
          </cell>
          <cell r="F228">
            <v>0</v>
          </cell>
          <cell r="G228">
            <v>0</v>
          </cell>
          <cell r="H228">
            <v>0</v>
          </cell>
          <cell r="I228">
            <v>0.10999999999999999</v>
          </cell>
          <cell r="J228">
            <v>0</v>
          </cell>
          <cell r="K228">
            <v>0</v>
          </cell>
          <cell r="L228">
            <v>0</v>
          </cell>
          <cell r="M228">
            <v>0</v>
          </cell>
          <cell r="N228" t="str">
            <v>包含砌筑、防水、内墙抹灰、楼地面、天棚、屋面、保温隔热、外墙抹灰等费用，详见表9数据，综合单价554.23元/m2</v>
          </cell>
          <cell r="O228" t="str">
            <v>*</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row>
        <row r="229">
          <cell r="B229">
            <v>125</v>
          </cell>
          <cell r="C229" t="str">
            <v>地下建筑面积</v>
          </cell>
          <cell r="D229" t="str">
            <v>m2</v>
          </cell>
          <cell r="E229">
            <v>26670</v>
          </cell>
          <cell r="F229">
            <v>0</v>
          </cell>
          <cell r="G229">
            <v>0</v>
          </cell>
          <cell r="H229">
            <v>0</v>
          </cell>
          <cell r="I229">
            <v>0.10999999999999999</v>
          </cell>
          <cell r="J229">
            <v>0</v>
          </cell>
          <cell r="K229">
            <v>0</v>
          </cell>
          <cell r="L229">
            <v>0</v>
          </cell>
          <cell r="M229">
            <v>0</v>
          </cell>
          <cell r="O229" t="str">
            <v>*</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0">
          <cell r="B230">
            <v>150</v>
          </cell>
          <cell r="C230" t="str">
            <v>地下建筑面积</v>
          </cell>
          <cell r="D230" t="str">
            <v>m2</v>
          </cell>
          <cell r="E230">
            <v>2338</v>
          </cell>
          <cell r="F230">
            <v>0</v>
          </cell>
          <cell r="G230">
            <v>0</v>
          </cell>
          <cell r="H230">
            <v>0</v>
          </cell>
          <cell r="I230">
            <v>0.10999999999999999</v>
          </cell>
          <cell r="J230">
            <v>0</v>
          </cell>
          <cell r="K230">
            <v>0</v>
          </cell>
          <cell r="L230">
            <v>0</v>
          </cell>
          <cell r="M230">
            <v>0</v>
          </cell>
          <cell r="N230" t="str">
            <v>包含砌筑、防水、内墙抹灰、楼地面、天棚、屋面、保温隔热、外墙抹灰等费用，详见表9数据，综合单价554.23元/m2</v>
          </cell>
          <cell r="O230" t="str">
            <v>*</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1T4(30F)</v>
          </cell>
          <cell r="C231" t="str">
            <v>地下建筑面积</v>
          </cell>
          <cell r="D231" t="str">
            <v>m2</v>
          </cell>
          <cell r="E231">
            <v>100279.12</v>
          </cell>
          <cell r="F231">
            <v>0</v>
          </cell>
          <cell r="G231">
            <v>0</v>
          </cell>
          <cell r="H231">
            <v>0</v>
          </cell>
          <cell r="I231">
            <v>0.10999999999999999</v>
          </cell>
          <cell r="J231">
            <v>0</v>
          </cell>
          <cell r="K231">
            <v>0</v>
          </cell>
          <cell r="L231">
            <v>0</v>
          </cell>
          <cell r="M231">
            <v>0</v>
          </cell>
          <cell r="O231" t="str">
            <v>*</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B232" t="str">
            <v>1T3(30F)</v>
          </cell>
          <cell r="C232" t="str">
            <v>地下建筑面积</v>
          </cell>
          <cell r="D232" t="str">
            <v>m2</v>
          </cell>
          <cell r="E232">
            <v>23428.2</v>
          </cell>
          <cell r="F232">
            <v>0</v>
          </cell>
          <cell r="G232">
            <v>0</v>
          </cell>
          <cell r="H232">
            <v>0</v>
          </cell>
          <cell r="I232">
            <v>0.10999999999999999</v>
          </cell>
          <cell r="J232">
            <v>0</v>
          </cell>
          <cell r="K232">
            <v>0</v>
          </cell>
          <cell r="L232">
            <v>0</v>
          </cell>
          <cell r="M232">
            <v>0</v>
          </cell>
          <cell r="N232" t="str">
            <v>包含砌筑、防水、内墙抹灰、楼地面、天棚、屋面、保温隔热、外墙抹灰等费用，详见表9数据，综合单价597.35元/m2</v>
          </cell>
          <cell r="O232" t="str">
            <v>*</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B233" t="str">
            <v>LOFT(31F)</v>
          </cell>
          <cell r="C233" t="str">
            <v>地下建筑面积</v>
          </cell>
          <cell r="D233" t="str">
            <v>m2</v>
          </cell>
          <cell r="E233">
            <v>0</v>
          </cell>
          <cell r="F233">
            <v>0</v>
          </cell>
          <cell r="G233">
            <v>0</v>
          </cell>
          <cell r="H233">
            <v>0</v>
          </cell>
          <cell r="I233">
            <v>0.10999999999999999</v>
          </cell>
          <cell r="J233">
            <v>0</v>
          </cell>
          <cell r="K233">
            <v>0</v>
          </cell>
          <cell r="L233">
            <v>0</v>
          </cell>
          <cell r="M233">
            <v>0</v>
          </cell>
          <cell r="O233" t="str">
            <v>*</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B234" t="str">
            <v>1T2(31F)</v>
          </cell>
          <cell r="C234" t="str">
            <v>地下建筑面积</v>
          </cell>
          <cell r="D234" t="str">
            <v>m2</v>
          </cell>
          <cell r="E234">
            <v>0</v>
          </cell>
          <cell r="F234">
            <v>0</v>
          </cell>
          <cell r="G234">
            <v>0</v>
          </cell>
          <cell r="H234">
            <v>0</v>
          </cell>
          <cell r="I234">
            <v>0.10999999999999999</v>
          </cell>
          <cell r="J234">
            <v>0</v>
          </cell>
          <cell r="K234">
            <v>0</v>
          </cell>
          <cell r="L234">
            <v>0</v>
          </cell>
          <cell r="M234">
            <v>0</v>
          </cell>
          <cell r="O234" t="str">
            <v>*</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row>
        <row r="235">
          <cell r="B235" t="str">
            <v>1T8(32F)</v>
          </cell>
          <cell r="C235" t="str">
            <v>地下建筑面积</v>
          </cell>
          <cell r="D235" t="str">
            <v>m2</v>
          </cell>
          <cell r="E235">
            <v>0</v>
          </cell>
          <cell r="F235">
            <v>0</v>
          </cell>
          <cell r="G235">
            <v>0</v>
          </cell>
          <cell r="H235">
            <v>0</v>
          </cell>
          <cell r="I235">
            <v>0.10999999999999999</v>
          </cell>
          <cell r="J235">
            <v>0</v>
          </cell>
          <cell r="K235">
            <v>0</v>
          </cell>
          <cell r="L235">
            <v>0</v>
          </cell>
          <cell r="M235">
            <v>0</v>
          </cell>
          <cell r="O235" t="str">
            <v>*</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row>
        <row r="236">
          <cell r="B236" t="str">
            <v>中高层洋房</v>
          </cell>
          <cell r="C236" t="str">
            <v>地下建筑面积</v>
          </cell>
          <cell r="D236" t="str">
            <v>m2</v>
          </cell>
          <cell r="E236">
            <v>0</v>
          </cell>
          <cell r="F236">
            <v>0</v>
          </cell>
          <cell r="G236">
            <v>0</v>
          </cell>
          <cell r="H236">
            <v>0</v>
          </cell>
          <cell r="I236">
            <v>0.10999999999999999</v>
          </cell>
          <cell r="J236">
            <v>0</v>
          </cell>
          <cell r="K236">
            <v>0</v>
          </cell>
          <cell r="L236">
            <v>0</v>
          </cell>
          <cell r="M236">
            <v>0</v>
          </cell>
          <cell r="O236" t="str">
            <v>*</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row>
        <row r="237">
          <cell r="B237" t="str">
            <v>115高层洋房</v>
          </cell>
          <cell r="C237" t="str">
            <v>地下建筑面积</v>
          </cell>
          <cell r="D237" t="str">
            <v>m2</v>
          </cell>
          <cell r="E237">
            <v>0</v>
          </cell>
          <cell r="F237">
            <v>0</v>
          </cell>
          <cell r="G237">
            <v>0</v>
          </cell>
          <cell r="H237">
            <v>0</v>
          </cell>
          <cell r="I237">
            <v>0.10999999999999999</v>
          </cell>
          <cell r="J237">
            <v>0</v>
          </cell>
          <cell r="K237">
            <v>0</v>
          </cell>
          <cell r="L237">
            <v>0</v>
          </cell>
          <cell r="M237">
            <v>0</v>
          </cell>
          <cell r="O237" t="str">
            <v>*</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row>
        <row r="238">
          <cell r="B238" t="str">
            <v>超高层洋房</v>
          </cell>
          <cell r="C238" t="str">
            <v>地下建筑面积</v>
          </cell>
          <cell r="D238" t="str">
            <v>m2</v>
          </cell>
          <cell r="E238">
            <v>0</v>
          </cell>
          <cell r="F238">
            <v>0</v>
          </cell>
          <cell r="G238">
            <v>0</v>
          </cell>
          <cell r="H238">
            <v>0</v>
          </cell>
          <cell r="I238">
            <v>0.10999999999999999</v>
          </cell>
          <cell r="J238">
            <v>0</v>
          </cell>
          <cell r="K238">
            <v>0</v>
          </cell>
          <cell r="L238">
            <v>0</v>
          </cell>
          <cell r="M238">
            <v>0</v>
          </cell>
          <cell r="O238" t="str">
            <v>*</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公寓</v>
          </cell>
          <cell r="C239" t="str">
            <v>地下建筑面积</v>
          </cell>
          <cell r="D239" t="str">
            <v>m2</v>
          </cell>
          <cell r="E239">
            <v>0</v>
          </cell>
          <cell r="F239">
            <v>0</v>
          </cell>
          <cell r="G239">
            <v>0</v>
          </cell>
          <cell r="H239">
            <v>0</v>
          </cell>
          <cell r="I239">
            <v>0.10999999999999999</v>
          </cell>
          <cell r="J239">
            <v>0</v>
          </cell>
          <cell r="K239">
            <v>0</v>
          </cell>
          <cell r="L239">
            <v>0</v>
          </cell>
          <cell r="M239">
            <v>0</v>
          </cell>
          <cell r="O239" t="str">
            <v>*</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row>
        <row r="240">
          <cell r="B240" t="str">
            <v>底商</v>
          </cell>
          <cell r="C240" t="str">
            <v>地下建筑面积</v>
          </cell>
          <cell r="D240" t="str">
            <v>m2</v>
          </cell>
          <cell r="E240">
            <v>0</v>
          </cell>
          <cell r="F240">
            <v>0</v>
          </cell>
          <cell r="G240">
            <v>0</v>
          </cell>
          <cell r="H240">
            <v>0</v>
          </cell>
          <cell r="I240">
            <v>0.10999999999999999</v>
          </cell>
          <cell r="J240">
            <v>0</v>
          </cell>
          <cell r="K240">
            <v>0</v>
          </cell>
          <cell r="L240">
            <v>0</v>
          </cell>
          <cell r="M240">
            <v>0</v>
          </cell>
          <cell r="O240" t="str">
            <v>*</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B241" t="str">
            <v>商业街</v>
          </cell>
          <cell r="C241" t="str">
            <v>地下建筑面积</v>
          </cell>
          <cell r="D241" t="str">
            <v>m2</v>
          </cell>
          <cell r="E241">
            <v>0</v>
          </cell>
          <cell r="F241">
            <v>0</v>
          </cell>
          <cell r="G241">
            <v>0</v>
          </cell>
          <cell r="H241">
            <v>0</v>
          </cell>
          <cell r="I241">
            <v>0.10999999999999999</v>
          </cell>
          <cell r="J241">
            <v>0</v>
          </cell>
          <cell r="K241">
            <v>0</v>
          </cell>
          <cell r="L241">
            <v>0</v>
          </cell>
          <cell r="M241">
            <v>0</v>
          </cell>
          <cell r="O241" t="str">
            <v>*</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row>
        <row r="242">
          <cell r="B242" t="str">
            <v>综合楼</v>
          </cell>
          <cell r="C242" t="str">
            <v>地下建筑面积</v>
          </cell>
          <cell r="D242" t="str">
            <v>m2</v>
          </cell>
          <cell r="E242">
            <v>0</v>
          </cell>
          <cell r="F242">
            <v>0</v>
          </cell>
          <cell r="G242">
            <v>0</v>
          </cell>
          <cell r="H242">
            <v>0</v>
          </cell>
          <cell r="I242">
            <v>0.10999999999999999</v>
          </cell>
          <cell r="J242">
            <v>0</v>
          </cell>
          <cell r="K242">
            <v>0</v>
          </cell>
          <cell r="L242">
            <v>0</v>
          </cell>
          <cell r="M242">
            <v>0</v>
          </cell>
          <cell r="O242" t="str">
            <v>*</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row>
        <row r="243">
          <cell r="B243" t="str">
            <v>写字楼</v>
          </cell>
          <cell r="C243" t="str">
            <v>地下建筑面积</v>
          </cell>
          <cell r="D243" t="str">
            <v>m2</v>
          </cell>
          <cell r="E243">
            <v>0</v>
          </cell>
          <cell r="F243">
            <v>0</v>
          </cell>
          <cell r="G243">
            <v>0</v>
          </cell>
          <cell r="H243">
            <v>0</v>
          </cell>
          <cell r="I243">
            <v>0.10999999999999999</v>
          </cell>
          <cell r="J243">
            <v>0</v>
          </cell>
          <cell r="K243">
            <v>0</v>
          </cell>
          <cell r="L243">
            <v>0</v>
          </cell>
          <cell r="M243">
            <v>0</v>
          </cell>
          <cell r="O243" t="str">
            <v>*</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4">
          <cell r="B244" t="str">
            <v>酒店</v>
          </cell>
          <cell r="C244" t="str">
            <v>地下建筑面积</v>
          </cell>
          <cell r="D244" t="str">
            <v>m2</v>
          </cell>
          <cell r="E244">
            <v>0</v>
          </cell>
          <cell r="F244">
            <v>0</v>
          </cell>
          <cell r="G244">
            <v>0</v>
          </cell>
          <cell r="H244">
            <v>0</v>
          </cell>
          <cell r="I244">
            <v>0.10999999999999999</v>
          </cell>
          <cell r="J244">
            <v>0</v>
          </cell>
          <cell r="K244">
            <v>0</v>
          </cell>
          <cell r="L244">
            <v>0</v>
          </cell>
          <cell r="M244">
            <v>0</v>
          </cell>
          <cell r="O244" t="str">
            <v>*</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row>
        <row r="245">
          <cell r="B245" t="str">
            <v>医院（自持）</v>
          </cell>
          <cell r="C245" t="str">
            <v>地下建筑面积</v>
          </cell>
          <cell r="D245" t="str">
            <v>m2</v>
          </cell>
          <cell r="E245">
            <v>0</v>
          </cell>
          <cell r="F245">
            <v>0</v>
          </cell>
          <cell r="G245">
            <v>0</v>
          </cell>
          <cell r="H245">
            <v>0</v>
          </cell>
          <cell r="I245">
            <v>0.10999999999999999</v>
          </cell>
          <cell r="J245">
            <v>0</v>
          </cell>
          <cell r="K245">
            <v>0</v>
          </cell>
          <cell r="L245">
            <v>0</v>
          </cell>
          <cell r="M245">
            <v>0</v>
          </cell>
          <cell r="O245" t="str">
            <v>*</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row>
        <row r="246">
          <cell r="B246" t="str">
            <v>地上计容车库</v>
          </cell>
          <cell r="C246" t="str">
            <v>地下建筑面积</v>
          </cell>
          <cell r="D246" t="str">
            <v>m2</v>
          </cell>
          <cell r="E246">
            <v>0</v>
          </cell>
          <cell r="F246">
            <v>0</v>
          </cell>
          <cell r="G246">
            <v>0</v>
          </cell>
          <cell r="H246">
            <v>0</v>
          </cell>
          <cell r="I246">
            <v>0.10999999999999999</v>
          </cell>
          <cell r="J246">
            <v>0</v>
          </cell>
          <cell r="K246">
            <v>0</v>
          </cell>
          <cell r="L246">
            <v>0</v>
          </cell>
          <cell r="M246">
            <v>0</v>
          </cell>
          <cell r="O246" t="str">
            <v>*</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row>
        <row r="247">
          <cell r="B247" t="str">
            <v>非人防地下室</v>
          </cell>
          <cell r="C247" t="str">
            <v>地下建筑面积</v>
          </cell>
          <cell r="D247" t="str">
            <v>m2</v>
          </cell>
          <cell r="E247">
            <v>77471.58</v>
          </cell>
          <cell r="F247">
            <v>365.78</v>
          </cell>
          <cell r="G247">
            <v>28337554.532399997</v>
          </cell>
          <cell r="H247">
            <v>0</v>
          </cell>
          <cell r="I247">
            <v>0.10999999999999999</v>
          </cell>
          <cell r="J247">
            <v>329.53153153153153</v>
          </cell>
          <cell r="K247">
            <v>36.248468468468445</v>
          </cell>
          <cell r="L247">
            <v>25529328.407567568</v>
          </cell>
          <cell r="M247">
            <v>2808226.124832429</v>
          </cell>
          <cell r="O247" t="str">
            <v>*</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25529328.407567568</v>
          </cell>
          <cell r="AH247">
            <v>0</v>
          </cell>
          <cell r="AI247">
            <v>0</v>
          </cell>
          <cell r="AJ247">
            <v>0</v>
          </cell>
          <cell r="AK247">
            <v>0</v>
          </cell>
          <cell r="AL247">
            <v>0</v>
          </cell>
          <cell r="AM247">
            <v>0</v>
          </cell>
          <cell r="AN247">
            <v>0</v>
          </cell>
          <cell r="AO247">
            <v>0</v>
          </cell>
          <cell r="AP247">
            <v>0</v>
          </cell>
          <cell r="AQ247">
            <v>0</v>
          </cell>
          <cell r="AR247">
            <v>25529328.407567568</v>
          </cell>
          <cell r="AS247">
            <v>0</v>
          </cell>
        </row>
        <row r="248">
          <cell r="B248" t="str">
            <v>人防地下室</v>
          </cell>
          <cell r="C248" t="str">
            <v>地下建筑面积</v>
          </cell>
          <cell r="D248" t="str">
            <v>m2</v>
          </cell>
          <cell r="E248">
            <v>9400</v>
          </cell>
          <cell r="F248">
            <v>370.78</v>
          </cell>
          <cell r="G248">
            <v>3485331.9999999995</v>
          </cell>
          <cell r="H248">
            <v>0</v>
          </cell>
          <cell r="I248">
            <v>0.10999999999999999</v>
          </cell>
          <cell r="J248">
            <v>334.03603603603602</v>
          </cell>
          <cell r="K248">
            <v>36.743963963963949</v>
          </cell>
          <cell r="L248">
            <v>3139938.7387387385</v>
          </cell>
          <cell r="M248">
            <v>345393.26126126107</v>
          </cell>
          <cell r="O248" t="str">
            <v>*</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3139938.7387387385</v>
          </cell>
          <cell r="AI248">
            <v>0</v>
          </cell>
          <cell r="AJ248">
            <v>0</v>
          </cell>
          <cell r="AK248">
            <v>0</v>
          </cell>
          <cell r="AL248">
            <v>0</v>
          </cell>
          <cell r="AM248">
            <v>0</v>
          </cell>
          <cell r="AN248">
            <v>0</v>
          </cell>
          <cell r="AO248">
            <v>0</v>
          </cell>
          <cell r="AP248">
            <v>0</v>
          </cell>
          <cell r="AQ248">
            <v>0</v>
          </cell>
          <cell r="AR248">
            <v>3139938.7387387385</v>
          </cell>
          <cell r="AS248">
            <v>0</v>
          </cell>
        </row>
        <row r="249">
          <cell r="B249" t="str">
            <v>独立会所（综合楼）</v>
          </cell>
          <cell r="C249" t="str">
            <v>地下建筑面积</v>
          </cell>
          <cell r="D249" t="str">
            <v>m2</v>
          </cell>
          <cell r="E249">
            <v>0</v>
          </cell>
          <cell r="F249">
            <v>0</v>
          </cell>
          <cell r="G249">
            <v>0</v>
          </cell>
          <cell r="H249">
            <v>0</v>
          </cell>
          <cell r="I249">
            <v>0.10999999999999999</v>
          </cell>
          <cell r="J249">
            <v>0</v>
          </cell>
          <cell r="K249">
            <v>0</v>
          </cell>
          <cell r="L249">
            <v>0</v>
          </cell>
          <cell r="M249">
            <v>0</v>
          </cell>
          <cell r="O249" t="str">
            <v>*</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row>
        <row r="250">
          <cell r="B250" t="str">
            <v>活动中心</v>
          </cell>
          <cell r="C250" t="str">
            <v>地下建筑面积</v>
          </cell>
          <cell r="D250" t="str">
            <v>m2</v>
          </cell>
          <cell r="E250">
            <v>0</v>
          </cell>
          <cell r="F250">
            <v>0</v>
          </cell>
          <cell r="G250">
            <v>0</v>
          </cell>
          <cell r="H250">
            <v>0</v>
          </cell>
          <cell r="I250">
            <v>0.10999999999999999</v>
          </cell>
          <cell r="J250">
            <v>0</v>
          </cell>
          <cell r="K250">
            <v>0</v>
          </cell>
          <cell r="L250">
            <v>0</v>
          </cell>
          <cell r="M250">
            <v>0</v>
          </cell>
          <cell r="O250" t="str">
            <v>*</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row>
        <row r="251">
          <cell r="B251" t="str">
            <v>商贸市场</v>
          </cell>
          <cell r="C251" t="str">
            <v>地下建筑面积</v>
          </cell>
          <cell r="D251" t="str">
            <v>m2</v>
          </cell>
          <cell r="E251">
            <v>0</v>
          </cell>
          <cell r="F251">
            <v>0</v>
          </cell>
          <cell r="G251">
            <v>0</v>
          </cell>
          <cell r="H251">
            <v>0</v>
          </cell>
          <cell r="I251">
            <v>0.10999999999999999</v>
          </cell>
          <cell r="J251">
            <v>0</v>
          </cell>
          <cell r="K251">
            <v>0</v>
          </cell>
          <cell r="L251">
            <v>0</v>
          </cell>
          <cell r="M251">
            <v>0</v>
          </cell>
          <cell r="O251" t="str">
            <v>*</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row>
        <row r="252">
          <cell r="B252" t="str">
            <v>医院</v>
          </cell>
          <cell r="C252" t="str">
            <v>地下建筑面积</v>
          </cell>
          <cell r="D252" t="str">
            <v>m2</v>
          </cell>
          <cell r="E252">
            <v>0</v>
          </cell>
          <cell r="F252">
            <v>0</v>
          </cell>
          <cell r="G252">
            <v>0</v>
          </cell>
          <cell r="H252">
            <v>0</v>
          </cell>
          <cell r="I252">
            <v>0.10999999999999999</v>
          </cell>
          <cell r="J252">
            <v>0</v>
          </cell>
          <cell r="K252">
            <v>0</v>
          </cell>
          <cell r="L252">
            <v>0</v>
          </cell>
          <cell r="M252">
            <v>0</v>
          </cell>
          <cell r="O252" t="str">
            <v>*</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row>
        <row r="253">
          <cell r="B253" t="str">
            <v>幼儿园</v>
          </cell>
          <cell r="C253" t="str">
            <v>地下建筑面积</v>
          </cell>
          <cell r="D253" t="str">
            <v>m2</v>
          </cell>
          <cell r="E253">
            <v>0</v>
          </cell>
          <cell r="F253">
            <v>0</v>
          </cell>
          <cell r="G253">
            <v>0</v>
          </cell>
          <cell r="H253">
            <v>0</v>
          </cell>
          <cell r="I253">
            <v>0.10999999999999999</v>
          </cell>
          <cell r="J253">
            <v>0</v>
          </cell>
          <cell r="K253">
            <v>0</v>
          </cell>
          <cell r="L253">
            <v>0</v>
          </cell>
          <cell r="M253">
            <v>0</v>
          </cell>
          <cell r="O253" t="str">
            <v>*</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row>
        <row r="254">
          <cell r="B254" t="str">
            <v>学校</v>
          </cell>
          <cell r="C254" t="str">
            <v>地下建筑面积</v>
          </cell>
          <cell r="D254" t="str">
            <v>m2</v>
          </cell>
          <cell r="E254">
            <v>0</v>
          </cell>
          <cell r="F254">
            <v>0</v>
          </cell>
          <cell r="G254">
            <v>0</v>
          </cell>
          <cell r="H254">
            <v>0</v>
          </cell>
          <cell r="I254">
            <v>0.10999999999999999</v>
          </cell>
          <cell r="J254">
            <v>0</v>
          </cell>
          <cell r="K254">
            <v>0</v>
          </cell>
          <cell r="L254">
            <v>0</v>
          </cell>
          <cell r="M254">
            <v>0</v>
          </cell>
          <cell r="O254" t="str">
            <v>*</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row>
        <row r="255">
          <cell r="B255" t="str">
            <v>员工宿舍</v>
          </cell>
          <cell r="C255" t="str">
            <v>地下建筑面积</v>
          </cell>
          <cell r="D255" t="str">
            <v>m2</v>
          </cell>
          <cell r="E255">
            <v>0</v>
          </cell>
          <cell r="F255">
            <v>0</v>
          </cell>
          <cell r="G255">
            <v>0</v>
          </cell>
          <cell r="H255">
            <v>0</v>
          </cell>
          <cell r="I255">
            <v>0.10999999999999999</v>
          </cell>
          <cell r="J255">
            <v>0</v>
          </cell>
          <cell r="K255">
            <v>0</v>
          </cell>
          <cell r="L255">
            <v>0</v>
          </cell>
          <cell r="M255">
            <v>0</v>
          </cell>
          <cell r="O255" t="str">
            <v>*</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row>
        <row r="256">
          <cell r="B256" t="str">
            <v>人防设备费</v>
          </cell>
          <cell r="C256" t="str">
            <v>人防建筑面积</v>
          </cell>
          <cell r="D256" t="str">
            <v>m2</v>
          </cell>
          <cell r="E256">
            <v>9400</v>
          </cell>
          <cell r="F256">
            <v>550</v>
          </cell>
          <cell r="G256">
            <v>5170000</v>
          </cell>
          <cell r="I256">
            <v>0.10999999999999999</v>
          </cell>
          <cell r="J256">
            <v>495.49549549549556</v>
          </cell>
          <cell r="K256">
            <v>54.504504504504439</v>
          </cell>
          <cell r="L256">
            <v>4657657.6576576587</v>
          </cell>
          <cell r="M256">
            <v>512342.34234234132</v>
          </cell>
          <cell r="O256" t="str">
            <v>*</v>
          </cell>
          <cell r="AH256">
            <v>4657657.6576576587</v>
          </cell>
          <cell r="AR256">
            <v>4657657.6576576587</v>
          </cell>
          <cell r="AS256">
            <v>0</v>
          </cell>
        </row>
        <row r="257">
          <cell r="A257" t="str">
            <v>03.01.03</v>
          </cell>
          <cell r="B257" t="str">
            <v>地上结构及粗装修</v>
          </cell>
          <cell r="C257" t="str">
            <v>地上建筑面积</v>
          </cell>
          <cell r="D257" t="str">
            <v>m2</v>
          </cell>
          <cell r="E257">
            <v>154715.32</v>
          </cell>
          <cell r="F257">
            <v>1330.0406543449956</v>
          </cell>
          <cell r="G257">
            <v>205777665.4499954</v>
          </cell>
          <cell r="I257">
            <v>0.11000000000000013</v>
          </cell>
          <cell r="J257">
            <v>1198.2348237342301</v>
          </cell>
          <cell r="K257">
            <v>131.8058306107655</v>
          </cell>
          <cell r="L257">
            <v>185385284.18918502</v>
          </cell>
          <cell r="M257">
            <v>20392381.260810375</v>
          </cell>
          <cell r="P257">
            <v>0</v>
          </cell>
          <cell r="Q257">
            <v>36027972.395639524</v>
          </cell>
          <cell r="R257">
            <v>3156251.3787707547</v>
          </cell>
          <cell r="S257">
            <v>116501752.0526126</v>
          </cell>
          <cell r="T257">
            <v>27227578.632432435</v>
          </cell>
          <cell r="U257">
            <v>0</v>
          </cell>
          <cell r="V257">
            <v>0</v>
          </cell>
          <cell r="W257">
            <v>0</v>
          </cell>
          <cell r="X257">
            <v>0</v>
          </cell>
          <cell r="Y257">
            <v>0</v>
          </cell>
          <cell r="Z257">
            <v>0</v>
          </cell>
          <cell r="AA257">
            <v>0</v>
          </cell>
          <cell r="AB257">
            <v>2471729.7297297297</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185385284.18918505</v>
          </cell>
          <cell r="AS257">
            <v>0</v>
          </cell>
        </row>
        <row r="258">
          <cell r="B258" t="str">
            <v>地上结构</v>
          </cell>
          <cell r="C258" t="str">
            <v>地上建筑面积</v>
          </cell>
          <cell r="D258" t="str">
            <v>m2</v>
          </cell>
          <cell r="E258">
            <v>154715.32</v>
          </cell>
          <cell r="F258">
            <v>926.28028037372349</v>
          </cell>
          <cell r="G258">
            <v>143309749.98771036</v>
          </cell>
          <cell r="I258">
            <v>0.10999999999999996</v>
          </cell>
          <cell r="J258">
            <v>834.48673907542661</v>
          </cell>
          <cell r="K258">
            <v>91.793541298296873</v>
          </cell>
          <cell r="L258">
            <v>129107882.87181114</v>
          </cell>
          <cell r="M258">
            <v>14201867.11589922</v>
          </cell>
          <cell r="P258">
            <v>0</v>
          </cell>
          <cell r="Q258">
            <v>21564227.885651775</v>
          </cell>
          <cell r="R258">
            <v>1888301.0726458444</v>
          </cell>
          <cell r="S258">
            <v>84225426.645045042</v>
          </cell>
          <cell r="T258">
            <v>19686864.205405407</v>
          </cell>
          <cell r="U258">
            <v>0</v>
          </cell>
          <cell r="V258">
            <v>0</v>
          </cell>
          <cell r="W258">
            <v>0</v>
          </cell>
          <cell r="X258">
            <v>0</v>
          </cell>
          <cell r="Y258">
            <v>0</v>
          </cell>
          <cell r="Z258">
            <v>0</v>
          </cell>
          <cell r="AA258">
            <v>0</v>
          </cell>
          <cell r="AB258">
            <v>1743063.0630630632</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129107882.87181114</v>
          </cell>
          <cell r="AS258">
            <v>0</v>
          </cell>
        </row>
        <row r="259">
          <cell r="B259">
            <v>100</v>
          </cell>
          <cell r="C259" t="str">
            <v>地上建筑面积</v>
          </cell>
          <cell r="D259" t="str">
            <v>m2</v>
          </cell>
          <cell r="E259">
            <v>0</v>
          </cell>
          <cell r="F259">
            <v>0</v>
          </cell>
          <cell r="G259">
            <v>0</v>
          </cell>
          <cell r="H259">
            <v>0</v>
          </cell>
          <cell r="I259">
            <v>0.10999999999999999</v>
          </cell>
          <cell r="J259">
            <v>0</v>
          </cell>
          <cell r="K259">
            <v>0</v>
          </cell>
          <cell r="L259">
            <v>0</v>
          </cell>
          <cell r="M259">
            <v>0</v>
          </cell>
          <cell r="N259" t="str">
            <v>指标钢筋含量按0.043t/m2，单价按5300元/t,；混凝土按0.42m3/m2，单价按588元/m3，措施费按416.85元/m2含模板和脚手架等费用</v>
          </cell>
          <cell r="O259" t="str">
            <v>*</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row>
        <row r="260">
          <cell r="B260">
            <v>125</v>
          </cell>
          <cell r="C260" t="str">
            <v>地上建筑面积</v>
          </cell>
          <cell r="D260" t="str">
            <v>m2</v>
          </cell>
          <cell r="E260">
            <v>26670</v>
          </cell>
          <cell r="F260">
            <v>897.49879839045627</v>
          </cell>
          <cell r="G260">
            <v>23936292.953073468</v>
          </cell>
          <cell r="H260">
            <v>0</v>
          </cell>
          <cell r="I260">
            <v>0.10999999999999999</v>
          </cell>
          <cell r="J260">
            <v>808.55747602743816</v>
          </cell>
          <cell r="K260">
            <v>88.941322363018116</v>
          </cell>
          <cell r="L260">
            <v>21564227.885651775</v>
          </cell>
          <cell r="M260">
            <v>2372065.0674216934</v>
          </cell>
          <cell r="O260" t="str">
            <v>*</v>
          </cell>
          <cell r="P260">
            <v>0</v>
          </cell>
          <cell r="Q260">
            <v>21564227.885651775</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21564227.885651775</v>
          </cell>
          <cell r="AS260">
            <v>0</v>
          </cell>
        </row>
        <row r="261">
          <cell r="B261">
            <v>150</v>
          </cell>
          <cell r="C261" t="str">
            <v>地上建筑面积</v>
          </cell>
          <cell r="D261" t="str">
            <v>m2</v>
          </cell>
          <cell r="E261">
            <v>2338</v>
          </cell>
          <cell r="F261">
            <v>896.49879839045639</v>
          </cell>
          <cell r="G261">
            <v>2096014.190636887</v>
          </cell>
          <cell r="H261">
            <v>0</v>
          </cell>
          <cell r="I261">
            <v>0.10999999999999999</v>
          </cell>
          <cell r="J261">
            <v>807.6565751265374</v>
          </cell>
          <cell r="K261">
            <v>88.842223263918982</v>
          </cell>
          <cell r="L261">
            <v>1888301.0726458444</v>
          </cell>
          <cell r="M261">
            <v>207713.11799104256</v>
          </cell>
          <cell r="N261" t="str">
            <v>指标钢筋含量按0.043t/m2，单价按5300元/t,；混凝土按0.42m3/m2，单价按588元/m3，措施费按416.85元/m2含模板和脚手架等费用</v>
          </cell>
          <cell r="O261" t="str">
            <v>*</v>
          </cell>
          <cell r="P261">
            <v>0</v>
          </cell>
          <cell r="Q261">
            <v>0</v>
          </cell>
          <cell r="R261">
            <v>1888301.0726458444</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1888301.0726458444</v>
          </cell>
          <cell r="AS261">
            <v>0</v>
          </cell>
        </row>
        <row r="262">
          <cell r="B262" t="str">
            <v>1T4(30F)</v>
          </cell>
          <cell r="C262" t="str">
            <v>地上建筑面积</v>
          </cell>
          <cell r="D262" t="str">
            <v>m2</v>
          </cell>
          <cell r="E262">
            <v>100279.12</v>
          </cell>
          <cell r="F262">
            <v>932.3</v>
          </cell>
          <cell r="G262">
            <v>93490223.57599999</v>
          </cell>
          <cell r="H262">
            <v>0</v>
          </cell>
          <cell r="I262">
            <v>0.10999999999999999</v>
          </cell>
          <cell r="J262">
            <v>839.90990990990997</v>
          </cell>
          <cell r="K262">
            <v>92.390090090089984</v>
          </cell>
          <cell r="L262">
            <v>84225426.645045042</v>
          </cell>
          <cell r="M262">
            <v>9264796.9309549481</v>
          </cell>
          <cell r="O262" t="str">
            <v>*</v>
          </cell>
          <cell r="P262">
            <v>0</v>
          </cell>
          <cell r="Q262">
            <v>0</v>
          </cell>
          <cell r="R262">
            <v>0</v>
          </cell>
          <cell r="S262">
            <v>84225426.645045042</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84225426.645045042</v>
          </cell>
          <cell r="AS262">
            <v>0</v>
          </cell>
        </row>
        <row r="263">
          <cell r="B263" t="str">
            <v>1T3(30F)</v>
          </cell>
          <cell r="C263" t="str">
            <v>地上建筑面积</v>
          </cell>
          <cell r="D263" t="str">
            <v>m2</v>
          </cell>
          <cell r="E263">
            <v>23428.2</v>
          </cell>
          <cell r="F263">
            <v>932.74</v>
          </cell>
          <cell r="G263">
            <v>21852419.267999999</v>
          </cell>
          <cell r="H263">
            <v>0</v>
          </cell>
          <cell r="I263">
            <v>0.10999999999999999</v>
          </cell>
          <cell r="J263">
            <v>840.3063063063064</v>
          </cell>
          <cell r="K263">
            <v>92.433693693693613</v>
          </cell>
          <cell r="L263">
            <v>19686864.205405407</v>
          </cell>
          <cell r="M263">
            <v>2165555.0625945926</v>
          </cell>
          <cell r="N263" t="str">
            <v>指标钢筋含量按0.043t/m2，单价按5300元/t,；混凝土按0.42m3/m2，单价按588元/m3，措施费按416.85元/m2含模板和脚手架等费用</v>
          </cell>
          <cell r="O263" t="str">
            <v>*</v>
          </cell>
          <cell r="P263">
            <v>0</v>
          </cell>
          <cell r="Q263">
            <v>0</v>
          </cell>
          <cell r="R263">
            <v>0</v>
          </cell>
          <cell r="S263">
            <v>0</v>
          </cell>
          <cell r="T263">
            <v>19686864.205405407</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19686864.205405407</v>
          </cell>
          <cell r="AS263">
            <v>0</v>
          </cell>
        </row>
        <row r="264">
          <cell r="B264" t="str">
            <v>LOFT(31F)</v>
          </cell>
          <cell r="C264" t="str">
            <v>地上建筑面积</v>
          </cell>
          <cell r="D264" t="str">
            <v>m2</v>
          </cell>
          <cell r="E264">
            <v>0</v>
          </cell>
          <cell r="F264">
            <v>0</v>
          </cell>
          <cell r="G264">
            <v>0</v>
          </cell>
          <cell r="H264">
            <v>0</v>
          </cell>
          <cell r="I264">
            <v>0.10999999999999999</v>
          </cell>
          <cell r="J264">
            <v>0</v>
          </cell>
          <cell r="K264">
            <v>0</v>
          </cell>
          <cell r="L264">
            <v>0</v>
          </cell>
          <cell r="M264">
            <v>0</v>
          </cell>
          <cell r="O264" t="str">
            <v>*</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row>
        <row r="265">
          <cell r="B265" t="str">
            <v>1T2(31F)</v>
          </cell>
          <cell r="C265" t="str">
            <v>地上建筑面积</v>
          </cell>
          <cell r="D265" t="str">
            <v>m2</v>
          </cell>
          <cell r="E265">
            <v>0</v>
          </cell>
          <cell r="H265">
            <v>0</v>
          </cell>
          <cell r="I265">
            <v>0.10999999999999999</v>
          </cell>
          <cell r="L265">
            <v>0</v>
          </cell>
          <cell r="M265">
            <v>0</v>
          </cell>
          <cell r="O265" t="str">
            <v>*</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row>
        <row r="266">
          <cell r="B266" t="str">
            <v>1T8(32F)</v>
          </cell>
          <cell r="C266" t="str">
            <v>地上建筑面积</v>
          </cell>
          <cell r="D266" t="str">
            <v>m2</v>
          </cell>
          <cell r="E266">
            <v>0</v>
          </cell>
          <cell r="F266">
            <v>0</v>
          </cell>
          <cell r="G266">
            <v>0</v>
          </cell>
          <cell r="H266">
            <v>0</v>
          </cell>
          <cell r="I266">
            <v>0.10999999999999999</v>
          </cell>
          <cell r="J266">
            <v>0</v>
          </cell>
          <cell r="K266">
            <v>0</v>
          </cell>
          <cell r="L266">
            <v>0</v>
          </cell>
          <cell r="M266">
            <v>0</v>
          </cell>
          <cell r="O266" t="str">
            <v>*</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row>
        <row r="267">
          <cell r="B267" t="str">
            <v>中高层洋房</v>
          </cell>
          <cell r="C267" t="str">
            <v>地上建筑面积</v>
          </cell>
          <cell r="D267" t="str">
            <v>m2</v>
          </cell>
          <cell r="E267">
            <v>0</v>
          </cell>
          <cell r="F267">
            <v>0</v>
          </cell>
          <cell r="G267">
            <v>0</v>
          </cell>
          <cell r="H267">
            <v>0</v>
          </cell>
          <cell r="I267">
            <v>0.10999999999999999</v>
          </cell>
          <cell r="J267">
            <v>0</v>
          </cell>
          <cell r="K267">
            <v>0</v>
          </cell>
          <cell r="L267">
            <v>0</v>
          </cell>
          <cell r="M267">
            <v>0</v>
          </cell>
          <cell r="O267" t="str">
            <v>*</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row>
        <row r="268">
          <cell r="B268" t="str">
            <v>115高层洋房</v>
          </cell>
          <cell r="C268" t="str">
            <v>地上建筑面积</v>
          </cell>
          <cell r="D268" t="str">
            <v>m2</v>
          </cell>
          <cell r="E268">
            <v>0</v>
          </cell>
          <cell r="F268">
            <v>0</v>
          </cell>
          <cell r="G268">
            <v>0</v>
          </cell>
          <cell r="H268">
            <v>0</v>
          </cell>
          <cell r="I268">
            <v>0.10999999999999999</v>
          </cell>
          <cell r="J268">
            <v>0</v>
          </cell>
          <cell r="K268">
            <v>0</v>
          </cell>
          <cell r="L268">
            <v>0</v>
          </cell>
          <cell r="M268">
            <v>0</v>
          </cell>
          <cell r="N268" t="str">
            <v>指标钢筋含量按0.040t/m2，单价按5100元/t,；混凝土按0.38m3/m2，单价按588元/m3，措施费按325.50元/m2含模板和脚手架等费用</v>
          </cell>
          <cell r="O268" t="str">
            <v>*</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row>
        <row r="269">
          <cell r="B269" t="str">
            <v>超高层洋房</v>
          </cell>
          <cell r="C269" t="str">
            <v>地上建筑面积</v>
          </cell>
          <cell r="D269" t="str">
            <v>m2</v>
          </cell>
          <cell r="E269">
            <v>0</v>
          </cell>
          <cell r="F269">
            <v>0</v>
          </cell>
          <cell r="G269">
            <v>0</v>
          </cell>
          <cell r="H269">
            <v>0</v>
          </cell>
          <cell r="I269">
            <v>0.10999999999999999</v>
          </cell>
          <cell r="J269">
            <v>0</v>
          </cell>
          <cell r="K269">
            <v>0</v>
          </cell>
          <cell r="L269">
            <v>0</v>
          </cell>
          <cell r="M269">
            <v>0</v>
          </cell>
          <cell r="O269" t="str">
            <v>*</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row>
        <row r="270">
          <cell r="B270" t="str">
            <v>公寓</v>
          </cell>
          <cell r="C270" t="str">
            <v>地上建筑面积</v>
          </cell>
          <cell r="D270" t="str">
            <v>m2</v>
          </cell>
          <cell r="E270">
            <v>0</v>
          </cell>
          <cell r="F270">
            <v>0</v>
          </cell>
          <cell r="G270">
            <v>0</v>
          </cell>
          <cell r="H270">
            <v>0</v>
          </cell>
          <cell r="I270">
            <v>0.10999999999999999</v>
          </cell>
          <cell r="J270">
            <v>0</v>
          </cell>
          <cell r="K270">
            <v>0</v>
          </cell>
          <cell r="L270">
            <v>0</v>
          </cell>
          <cell r="M270">
            <v>0</v>
          </cell>
          <cell r="O270" t="str">
            <v>*</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row>
        <row r="271">
          <cell r="B271" t="str">
            <v>底商</v>
          </cell>
          <cell r="C271" t="str">
            <v>地上建筑面积</v>
          </cell>
          <cell r="D271" t="str">
            <v>m2</v>
          </cell>
          <cell r="E271">
            <v>2000</v>
          </cell>
          <cell r="F271">
            <v>967.4</v>
          </cell>
          <cell r="G271">
            <v>1934800</v>
          </cell>
          <cell r="H271">
            <v>0</v>
          </cell>
          <cell r="I271">
            <v>0.10999999999999999</v>
          </cell>
          <cell r="J271">
            <v>871.53153153153164</v>
          </cell>
          <cell r="K271">
            <v>95.868468468468336</v>
          </cell>
          <cell r="L271">
            <v>1743063.0630630632</v>
          </cell>
          <cell r="M271">
            <v>191736.93693693681</v>
          </cell>
          <cell r="O271" t="str">
            <v>*</v>
          </cell>
          <cell r="P271">
            <v>0</v>
          </cell>
          <cell r="Q271">
            <v>0</v>
          </cell>
          <cell r="R271">
            <v>0</v>
          </cell>
          <cell r="S271">
            <v>0</v>
          </cell>
          <cell r="T271">
            <v>0</v>
          </cell>
          <cell r="U271">
            <v>0</v>
          </cell>
          <cell r="V271">
            <v>0</v>
          </cell>
          <cell r="W271">
            <v>0</v>
          </cell>
          <cell r="X271">
            <v>0</v>
          </cell>
          <cell r="Y271">
            <v>0</v>
          </cell>
          <cell r="Z271">
            <v>0</v>
          </cell>
          <cell r="AA271">
            <v>0</v>
          </cell>
          <cell r="AB271">
            <v>1743063.0630630632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1743063.0630630632</v>
          </cell>
          <cell r="AS271">
            <v>0</v>
          </cell>
        </row>
        <row r="272">
          <cell r="B272" t="str">
            <v>商业街</v>
          </cell>
          <cell r="C272" t="str">
            <v>地上建筑面积</v>
          </cell>
          <cell r="D272" t="str">
            <v>m2</v>
          </cell>
          <cell r="E272">
            <v>0</v>
          </cell>
          <cell r="F272">
            <v>0</v>
          </cell>
          <cell r="G272">
            <v>0</v>
          </cell>
          <cell r="H272">
            <v>0</v>
          </cell>
          <cell r="I272">
            <v>0.10999999999999999</v>
          </cell>
          <cell r="J272">
            <v>0</v>
          </cell>
          <cell r="K272">
            <v>0</v>
          </cell>
          <cell r="L272">
            <v>0</v>
          </cell>
          <cell r="M272">
            <v>0</v>
          </cell>
          <cell r="O272" t="str">
            <v>*</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row>
        <row r="273">
          <cell r="B273" t="str">
            <v>综合楼</v>
          </cell>
          <cell r="C273" t="str">
            <v>地上建筑面积</v>
          </cell>
          <cell r="D273" t="str">
            <v>m2</v>
          </cell>
          <cell r="E273">
            <v>0</v>
          </cell>
          <cell r="F273">
            <v>0</v>
          </cell>
          <cell r="G273">
            <v>0</v>
          </cell>
          <cell r="H273">
            <v>0</v>
          </cell>
          <cell r="I273">
            <v>0.10999999999999999</v>
          </cell>
          <cell r="J273">
            <v>0</v>
          </cell>
          <cell r="K273">
            <v>0</v>
          </cell>
          <cell r="L273">
            <v>0</v>
          </cell>
          <cell r="M273">
            <v>0</v>
          </cell>
          <cell r="O273" t="str">
            <v>*</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row>
        <row r="274">
          <cell r="B274" t="str">
            <v>写字楼</v>
          </cell>
          <cell r="C274" t="str">
            <v>地上建筑面积</v>
          </cell>
          <cell r="D274" t="str">
            <v>m2</v>
          </cell>
          <cell r="E274">
            <v>0</v>
          </cell>
          <cell r="F274">
            <v>0</v>
          </cell>
          <cell r="G274">
            <v>0</v>
          </cell>
          <cell r="H274">
            <v>0</v>
          </cell>
          <cell r="I274">
            <v>0.10999999999999999</v>
          </cell>
          <cell r="J274">
            <v>0</v>
          </cell>
          <cell r="K274">
            <v>0</v>
          </cell>
          <cell r="L274">
            <v>0</v>
          </cell>
          <cell r="M274">
            <v>0</v>
          </cell>
          <cell r="O274" t="str">
            <v>*</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row>
        <row r="275">
          <cell r="B275" t="str">
            <v>酒店</v>
          </cell>
          <cell r="C275" t="str">
            <v>地上建筑面积</v>
          </cell>
          <cell r="D275" t="str">
            <v>m2</v>
          </cell>
          <cell r="E275">
            <v>0</v>
          </cell>
          <cell r="F275">
            <v>0</v>
          </cell>
          <cell r="G275">
            <v>0</v>
          </cell>
          <cell r="H275">
            <v>0</v>
          </cell>
          <cell r="I275">
            <v>0.10999999999999999</v>
          </cell>
          <cell r="J275">
            <v>0</v>
          </cell>
          <cell r="K275">
            <v>0</v>
          </cell>
          <cell r="L275">
            <v>0</v>
          </cell>
          <cell r="M275">
            <v>0</v>
          </cell>
          <cell r="O275" t="str">
            <v>*</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row>
        <row r="276">
          <cell r="B276" t="str">
            <v>医院（自持）</v>
          </cell>
          <cell r="C276" t="str">
            <v>地上建筑面积</v>
          </cell>
          <cell r="D276" t="str">
            <v>m2</v>
          </cell>
          <cell r="E276">
            <v>0</v>
          </cell>
          <cell r="F276">
            <v>0</v>
          </cell>
          <cell r="G276">
            <v>0</v>
          </cell>
          <cell r="H276">
            <v>0</v>
          </cell>
          <cell r="I276">
            <v>0.10999999999999999</v>
          </cell>
          <cell r="J276">
            <v>0</v>
          </cell>
          <cell r="K276">
            <v>0</v>
          </cell>
          <cell r="L276">
            <v>0</v>
          </cell>
          <cell r="M276">
            <v>0</v>
          </cell>
          <cell r="O276" t="str">
            <v>*</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row>
        <row r="277">
          <cell r="B277" t="str">
            <v>地上计容车库</v>
          </cell>
          <cell r="C277" t="str">
            <v>地上建筑面积</v>
          </cell>
          <cell r="D277" t="str">
            <v>m2</v>
          </cell>
          <cell r="E277">
            <v>0</v>
          </cell>
          <cell r="F277">
            <v>0</v>
          </cell>
          <cell r="G277">
            <v>0</v>
          </cell>
          <cell r="H277">
            <v>0</v>
          </cell>
          <cell r="I277">
            <v>0.10999999999999999</v>
          </cell>
          <cell r="J277">
            <v>0</v>
          </cell>
          <cell r="K277">
            <v>0</v>
          </cell>
          <cell r="L277">
            <v>0</v>
          </cell>
          <cell r="M277">
            <v>0</v>
          </cell>
          <cell r="O277" t="str">
            <v>*</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row>
        <row r="278">
          <cell r="B278" t="str">
            <v>非人防地下室</v>
          </cell>
          <cell r="C278" t="str">
            <v>地上建筑面积</v>
          </cell>
          <cell r="D278" t="str">
            <v>m2</v>
          </cell>
          <cell r="E278">
            <v>0</v>
          </cell>
          <cell r="F278">
            <v>0</v>
          </cell>
          <cell r="G278">
            <v>0</v>
          </cell>
          <cell r="H278">
            <v>0</v>
          </cell>
          <cell r="I278">
            <v>0.10999999999999999</v>
          </cell>
          <cell r="J278">
            <v>0</v>
          </cell>
          <cell r="K278">
            <v>0</v>
          </cell>
          <cell r="L278">
            <v>0</v>
          </cell>
          <cell r="M278">
            <v>0</v>
          </cell>
          <cell r="O278" t="str">
            <v>*</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row>
        <row r="279">
          <cell r="B279" t="str">
            <v>人防地下室</v>
          </cell>
          <cell r="C279" t="str">
            <v>地上建筑面积</v>
          </cell>
          <cell r="D279" t="str">
            <v>m2</v>
          </cell>
          <cell r="E279">
            <v>0</v>
          </cell>
          <cell r="F279">
            <v>0</v>
          </cell>
          <cell r="G279">
            <v>0</v>
          </cell>
          <cell r="H279">
            <v>0</v>
          </cell>
          <cell r="I279">
            <v>0.10999999999999999</v>
          </cell>
          <cell r="J279">
            <v>0</v>
          </cell>
          <cell r="K279">
            <v>0</v>
          </cell>
          <cell r="L279">
            <v>0</v>
          </cell>
          <cell r="M279">
            <v>0</v>
          </cell>
          <cell r="O279" t="str">
            <v>*</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row>
        <row r="280">
          <cell r="B280" t="str">
            <v>独立会所（综合楼）</v>
          </cell>
          <cell r="C280" t="str">
            <v>地上建筑面积</v>
          </cell>
          <cell r="D280" t="str">
            <v>m2</v>
          </cell>
          <cell r="E280">
            <v>0</v>
          </cell>
          <cell r="F280">
            <v>0</v>
          </cell>
          <cell r="G280">
            <v>0</v>
          </cell>
          <cell r="H280">
            <v>0</v>
          </cell>
          <cell r="I280">
            <v>0.10999999999999999</v>
          </cell>
          <cell r="J280">
            <v>0</v>
          </cell>
          <cell r="K280">
            <v>0</v>
          </cell>
          <cell r="L280">
            <v>0</v>
          </cell>
          <cell r="M280">
            <v>0</v>
          </cell>
          <cell r="O280" t="str">
            <v>*</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row>
        <row r="281">
          <cell r="B281" t="str">
            <v>活动中心</v>
          </cell>
          <cell r="C281" t="str">
            <v>地上建筑面积</v>
          </cell>
          <cell r="D281" t="str">
            <v>m2</v>
          </cell>
          <cell r="E281">
            <v>0</v>
          </cell>
          <cell r="F281">
            <v>0</v>
          </cell>
          <cell r="G281">
            <v>0</v>
          </cell>
          <cell r="H281">
            <v>0</v>
          </cell>
          <cell r="I281">
            <v>0.10999999999999999</v>
          </cell>
          <cell r="J281">
            <v>0</v>
          </cell>
          <cell r="K281">
            <v>0</v>
          </cell>
          <cell r="L281">
            <v>0</v>
          </cell>
          <cell r="M281">
            <v>0</v>
          </cell>
          <cell r="O281" t="str">
            <v>*</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row>
        <row r="282">
          <cell r="B282" t="str">
            <v>商贸市场</v>
          </cell>
          <cell r="C282" t="str">
            <v>地上建筑面积</v>
          </cell>
          <cell r="D282" t="str">
            <v>m2</v>
          </cell>
          <cell r="E282">
            <v>0</v>
          </cell>
          <cell r="F282">
            <v>0</v>
          </cell>
          <cell r="G282">
            <v>0</v>
          </cell>
          <cell r="H282">
            <v>0</v>
          </cell>
          <cell r="I282">
            <v>0.10999999999999999</v>
          </cell>
          <cell r="J282">
            <v>0</v>
          </cell>
          <cell r="K282">
            <v>0</v>
          </cell>
          <cell r="L282">
            <v>0</v>
          </cell>
          <cell r="M282">
            <v>0</v>
          </cell>
          <cell r="O282" t="str">
            <v>*</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row>
        <row r="283">
          <cell r="B283" t="str">
            <v>医院</v>
          </cell>
          <cell r="C283" t="str">
            <v>地上建筑面积</v>
          </cell>
          <cell r="D283" t="str">
            <v>m2</v>
          </cell>
          <cell r="E283">
            <v>0</v>
          </cell>
          <cell r="F283">
            <v>0</v>
          </cell>
          <cell r="G283">
            <v>0</v>
          </cell>
          <cell r="H283">
            <v>0</v>
          </cell>
          <cell r="I283">
            <v>0.10999999999999999</v>
          </cell>
          <cell r="J283">
            <v>0</v>
          </cell>
          <cell r="K283">
            <v>0</v>
          </cell>
          <cell r="L283">
            <v>0</v>
          </cell>
          <cell r="M283">
            <v>0</v>
          </cell>
          <cell r="O283" t="str">
            <v>*</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row>
        <row r="284">
          <cell r="B284" t="str">
            <v>幼儿园</v>
          </cell>
          <cell r="C284" t="str">
            <v>地上建筑面积</v>
          </cell>
          <cell r="D284" t="str">
            <v>m2</v>
          </cell>
          <cell r="E284">
            <v>0</v>
          </cell>
          <cell r="F284">
            <v>0</v>
          </cell>
          <cell r="G284">
            <v>0</v>
          </cell>
          <cell r="H284">
            <v>0</v>
          </cell>
          <cell r="I284">
            <v>0.10999999999999999</v>
          </cell>
          <cell r="J284">
            <v>0</v>
          </cell>
          <cell r="K284">
            <v>0</v>
          </cell>
          <cell r="L284">
            <v>0</v>
          </cell>
          <cell r="M284">
            <v>0</v>
          </cell>
          <cell r="O284" t="str">
            <v>*</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row>
        <row r="285">
          <cell r="B285" t="str">
            <v>学校</v>
          </cell>
          <cell r="C285" t="str">
            <v>地上建筑面积</v>
          </cell>
          <cell r="D285" t="str">
            <v>m2</v>
          </cell>
          <cell r="E285">
            <v>0</v>
          </cell>
          <cell r="F285">
            <v>0</v>
          </cell>
          <cell r="G285">
            <v>0</v>
          </cell>
          <cell r="H285">
            <v>0</v>
          </cell>
          <cell r="I285">
            <v>0.10999999999999999</v>
          </cell>
          <cell r="J285">
            <v>0</v>
          </cell>
          <cell r="K285">
            <v>0</v>
          </cell>
          <cell r="L285">
            <v>0</v>
          </cell>
          <cell r="M285">
            <v>0</v>
          </cell>
          <cell r="O285" t="str">
            <v>*</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row>
        <row r="286">
          <cell r="B286" t="str">
            <v>员工宿舍</v>
          </cell>
          <cell r="C286" t="str">
            <v>地上建筑面积</v>
          </cell>
          <cell r="D286" t="str">
            <v>m2</v>
          </cell>
          <cell r="E286">
            <v>0</v>
          </cell>
          <cell r="F286">
            <v>0</v>
          </cell>
          <cell r="G286">
            <v>0</v>
          </cell>
          <cell r="H286">
            <v>0</v>
          </cell>
          <cell r="I286">
            <v>0.10999999999999999</v>
          </cell>
          <cell r="J286">
            <v>0</v>
          </cell>
          <cell r="K286">
            <v>0</v>
          </cell>
          <cell r="L286">
            <v>0</v>
          </cell>
          <cell r="M286">
            <v>0</v>
          </cell>
          <cell r="O286" t="str">
            <v>*</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row>
        <row r="287">
          <cell r="B287" t="str">
            <v>地上粗装修</v>
          </cell>
          <cell r="C287" t="str">
            <v>地上建筑面积</v>
          </cell>
          <cell r="D287" t="str">
            <v>m2</v>
          </cell>
          <cell r="E287">
            <v>154715.32</v>
          </cell>
          <cell r="F287">
            <v>403.76037397127214</v>
          </cell>
          <cell r="G287">
            <v>62467915.462285042</v>
          </cell>
          <cell r="I287">
            <v>0.10999999999999975</v>
          </cell>
          <cell r="J287">
            <v>363.7480846588038</v>
          </cell>
          <cell r="K287">
            <v>40.01228931246834</v>
          </cell>
          <cell r="L287">
            <v>56277401.317373924</v>
          </cell>
          <cell r="M287">
            <v>6190514.1449111179</v>
          </cell>
          <cell r="P287">
            <v>0</v>
          </cell>
          <cell r="Q287">
            <v>14463744.509987749</v>
          </cell>
          <cell r="R287">
            <v>1267950.3061249105</v>
          </cell>
          <cell r="S287">
            <v>32276325.407567564</v>
          </cell>
          <cell r="T287">
            <v>7540714.4270270281</v>
          </cell>
          <cell r="U287">
            <v>0</v>
          </cell>
          <cell r="V287">
            <v>0</v>
          </cell>
          <cell r="W287">
            <v>0</v>
          </cell>
          <cell r="X287">
            <v>0</v>
          </cell>
          <cell r="Y287">
            <v>0</v>
          </cell>
          <cell r="Z287">
            <v>0</v>
          </cell>
          <cell r="AA287">
            <v>0</v>
          </cell>
          <cell r="AB287">
            <v>728666.66666666674</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56277401.317373924</v>
          </cell>
          <cell r="AS287">
            <v>0</v>
          </cell>
        </row>
        <row r="288">
          <cell r="B288">
            <v>100</v>
          </cell>
          <cell r="C288" t="str">
            <v>地上建筑面积</v>
          </cell>
          <cell r="D288" t="str">
            <v>m2</v>
          </cell>
          <cell r="E288">
            <v>0</v>
          </cell>
          <cell r="F288">
            <v>0</v>
          </cell>
          <cell r="G288">
            <v>0</v>
          </cell>
          <cell r="H288">
            <v>0</v>
          </cell>
          <cell r="I288">
            <v>0.10999999999999999</v>
          </cell>
          <cell r="J288">
            <v>0</v>
          </cell>
          <cell r="K288">
            <v>0</v>
          </cell>
          <cell r="L288">
            <v>0</v>
          </cell>
          <cell r="M288">
            <v>0</v>
          </cell>
          <cell r="N288" t="str">
            <v>包含砌筑、防水、内墙抹灰、楼地面、天棚、屋面、保温隔热、外墙抹灰等费用，详见表9数据，综合单价597.35元/m2</v>
          </cell>
          <cell r="O288" t="str">
            <v>*</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row>
        <row r="289">
          <cell r="B289">
            <v>125</v>
          </cell>
          <cell r="C289" t="str">
            <v>地上建筑面积</v>
          </cell>
          <cell r="D289" t="str">
            <v>m2</v>
          </cell>
          <cell r="E289">
            <v>26670</v>
          </cell>
          <cell r="F289">
            <v>601.97811796349458</v>
          </cell>
          <cell r="G289">
            <v>16054756.4060864</v>
          </cell>
          <cell r="H289">
            <v>0</v>
          </cell>
          <cell r="I289">
            <v>0.10999999999999999</v>
          </cell>
          <cell r="J289">
            <v>542.32262879594111</v>
          </cell>
          <cell r="K289">
            <v>59.655489167553469</v>
          </cell>
          <cell r="L289">
            <v>14463744.509987749</v>
          </cell>
          <cell r="M289">
            <v>1591011.896098651</v>
          </cell>
          <cell r="O289" t="str">
            <v>*</v>
          </cell>
          <cell r="P289">
            <v>0</v>
          </cell>
          <cell r="Q289">
            <v>14463744.509987749</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14463744.509987749</v>
          </cell>
          <cell r="AS289">
            <v>0</v>
          </cell>
        </row>
        <row r="290">
          <cell r="B290">
            <v>150</v>
          </cell>
          <cell r="C290" t="str">
            <v>地上建筑面积</v>
          </cell>
          <cell r="D290" t="str">
            <v>m2</v>
          </cell>
          <cell r="E290">
            <v>2338</v>
          </cell>
          <cell r="F290">
            <v>601.9781179634947</v>
          </cell>
          <cell r="G290">
            <v>1407424.8397986507</v>
          </cell>
          <cell r="H290">
            <v>0</v>
          </cell>
          <cell r="I290">
            <v>0.10999999999999999</v>
          </cell>
          <cell r="J290">
            <v>542.32262879594123</v>
          </cell>
          <cell r="K290">
            <v>59.655489167553469</v>
          </cell>
          <cell r="L290">
            <v>1267950.3061249105</v>
          </cell>
          <cell r="M290">
            <v>139474.53367374022</v>
          </cell>
          <cell r="N290" t="str">
            <v>包含砌筑、防水、内墙抹灰、楼地面、天棚、屋面、保温隔热、外墙抹灰等费用，详见表9数据，综合单价597.35元/m2</v>
          </cell>
          <cell r="O290" t="str">
            <v>*</v>
          </cell>
          <cell r="P290">
            <v>0</v>
          </cell>
          <cell r="Q290">
            <v>0</v>
          </cell>
          <cell r="R290">
            <v>1267950.3061249105</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1267950.3061249105</v>
          </cell>
          <cell r="AS290">
            <v>0</v>
          </cell>
        </row>
        <row r="291">
          <cell r="B291" t="str">
            <v>1T4(30F)</v>
          </cell>
          <cell r="C291" t="str">
            <v>地上建筑面积</v>
          </cell>
          <cell r="D291" t="str">
            <v>m2</v>
          </cell>
          <cell r="E291">
            <v>100279.12</v>
          </cell>
          <cell r="F291">
            <v>357.26999999999992</v>
          </cell>
          <cell r="G291">
            <v>35826721.202399991</v>
          </cell>
          <cell r="H291">
            <v>0</v>
          </cell>
          <cell r="I291">
            <v>0.10999999999999999</v>
          </cell>
          <cell r="J291">
            <v>321.86486486486484</v>
          </cell>
          <cell r="K291">
            <v>35.405135135135083</v>
          </cell>
          <cell r="L291">
            <v>32276325.407567564</v>
          </cell>
          <cell r="M291">
            <v>3550395.7948324271</v>
          </cell>
          <cell r="O291" t="str">
            <v>*</v>
          </cell>
          <cell r="P291">
            <v>0</v>
          </cell>
          <cell r="Q291">
            <v>0</v>
          </cell>
          <cell r="R291">
            <v>0</v>
          </cell>
          <cell r="S291">
            <v>32276325.407567564</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32276325.407567564</v>
          </cell>
          <cell r="AS291">
            <v>0</v>
          </cell>
        </row>
        <row r="292">
          <cell r="B292" t="str">
            <v>1T3(30F)</v>
          </cell>
          <cell r="C292" t="str">
            <v>地上建筑面积</v>
          </cell>
          <cell r="D292" t="str">
            <v>m2</v>
          </cell>
          <cell r="E292">
            <v>23428.2</v>
          </cell>
          <cell r="F292">
            <v>357.27</v>
          </cell>
          <cell r="G292">
            <v>8370193.0139999995</v>
          </cell>
          <cell r="H292">
            <v>0</v>
          </cell>
          <cell r="I292">
            <v>0.10999999999999999</v>
          </cell>
          <cell r="J292">
            <v>321.8648648648649</v>
          </cell>
          <cell r="K292">
            <v>35.405135135135083</v>
          </cell>
          <cell r="L292">
            <v>7540714.4270270281</v>
          </cell>
          <cell r="M292">
            <v>829478.58697297145</v>
          </cell>
          <cell r="N292" t="str">
            <v>包含砌筑、防水、内墙抹灰、楼地面、天棚、屋面、保温隔热、外墙抹灰等费用，详见表9数据，综合单价597.35元/m2</v>
          </cell>
          <cell r="O292" t="str">
            <v>*</v>
          </cell>
          <cell r="P292">
            <v>0</v>
          </cell>
          <cell r="Q292">
            <v>0</v>
          </cell>
          <cell r="R292">
            <v>0</v>
          </cell>
          <cell r="S292">
            <v>0</v>
          </cell>
          <cell r="T292">
            <v>7540714.4270270281</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7540714.4270270281</v>
          </cell>
          <cell r="AS292">
            <v>0</v>
          </cell>
        </row>
        <row r="293">
          <cell r="B293" t="str">
            <v>LOFT(31F)</v>
          </cell>
          <cell r="C293" t="str">
            <v>地上建筑面积</v>
          </cell>
          <cell r="D293" t="str">
            <v>m2</v>
          </cell>
          <cell r="E293">
            <v>0</v>
          </cell>
          <cell r="F293">
            <v>0</v>
          </cell>
          <cell r="G293">
            <v>0</v>
          </cell>
          <cell r="H293">
            <v>0</v>
          </cell>
          <cell r="I293">
            <v>0.10999999999999999</v>
          </cell>
          <cell r="J293">
            <v>0</v>
          </cell>
          <cell r="K293">
            <v>0</v>
          </cell>
          <cell r="L293">
            <v>0</v>
          </cell>
          <cell r="M293">
            <v>0</v>
          </cell>
          <cell r="O293" t="str">
            <v>*</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row>
        <row r="294">
          <cell r="B294" t="str">
            <v>1T2(31F)</v>
          </cell>
          <cell r="C294" t="str">
            <v>地上建筑面积</v>
          </cell>
          <cell r="D294" t="str">
            <v>m2</v>
          </cell>
          <cell r="E294">
            <v>0</v>
          </cell>
          <cell r="H294">
            <v>0</v>
          </cell>
          <cell r="I294">
            <v>0.10999999999999999</v>
          </cell>
          <cell r="J294">
            <v>0</v>
          </cell>
          <cell r="K294">
            <v>0</v>
          </cell>
          <cell r="L294">
            <v>0</v>
          </cell>
          <cell r="M294">
            <v>0</v>
          </cell>
          <cell r="O294" t="str">
            <v>*</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row>
        <row r="295">
          <cell r="B295" t="str">
            <v>1T8(32F)</v>
          </cell>
          <cell r="C295" t="str">
            <v>地上建筑面积</v>
          </cell>
          <cell r="D295" t="str">
            <v>m2</v>
          </cell>
          <cell r="E295">
            <v>0</v>
          </cell>
          <cell r="F295">
            <v>0</v>
          </cell>
          <cell r="G295">
            <v>0</v>
          </cell>
          <cell r="H295">
            <v>0</v>
          </cell>
          <cell r="I295">
            <v>0.10999999999999999</v>
          </cell>
          <cell r="J295">
            <v>0</v>
          </cell>
          <cell r="K295">
            <v>0</v>
          </cell>
          <cell r="L295">
            <v>0</v>
          </cell>
          <cell r="M295">
            <v>0</v>
          </cell>
          <cell r="O295" t="str">
            <v>*</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row>
        <row r="296">
          <cell r="B296" t="str">
            <v>中高层洋房</v>
          </cell>
          <cell r="C296" t="str">
            <v>地上建筑面积</v>
          </cell>
          <cell r="D296" t="str">
            <v>m2</v>
          </cell>
          <cell r="E296">
            <v>0</v>
          </cell>
          <cell r="F296">
            <v>0</v>
          </cell>
          <cell r="G296">
            <v>0</v>
          </cell>
          <cell r="H296">
            <v>0</v>
          </cell>
          <cell r="I296">
            <v>0.10999999999999999</v>
          </cell>
          <cell r="J296">
            <v>0</v>
          </cell>
          <cell r="K296">
            <v>0</v>
          </cell>
          <cell r="L296">
            <v>0</v>
          </cell>
          <cell r="M296">
            <v>0</v>
          </cell>
          <cell r="O296" t="str">
            <v>*</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row>
        <row r="297">
          <cell r="B297" t="str">
            <v>115高层洋房</v>
          </cell>
          <cell r="C297" t="str">
            <v>地上建筑面积</v>
          </cell>
          <cell r="D297" t="str">
            <v>m2</v>
          </cell>
          <cell r="E297">
            <v>0</v>
          </cell>
          <cell r="F297">
            <v>0</v>
          </cell>
          <cell r="G297">
            <v>0</v>
          </cell>
          <cell r="H297">
            <v>0</v>
          </cell>
          <cell r="I297">
            <v>0.10999999999999999</v>
          </cell>
          <cell r="J297">
            <v>0</v>
          </cell>
          <cell r="K297">
            <v>0</v>
          </cell>
          <cell r="L297">
            <v>0</v>
          </cell>
          <cell r="M297">
            <v>0</v>
          </cell>
          <cell r="N297" t="str">
            <v>包含砌筑、防水、内墙抹灰、楼地面、天棚、屋面、保温隔热、外墙抹灰等费用，详见表9数据，综合单价466.98元/m2</v>
          </cell>
          <cell r="O297" t="str">
            <v>*</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row>
        <row r="298">
          <cell r="B298" t="str">
            <v>超高层洋房</v>
          </cell>
          <cell r="C298" t="str">
            <v>地上建筑面积</v>
          </cell>
          <cell r="D298" t="str">
            <v>m2</v>
          </cell>
          <cell r="E298">
            <v>0</v>
          </cell>
          <cell r="F298">
            <v>0</v>
          </cell>
          <cell r="G298">
            <v>0</v>
          </cell>
          <cell r="H298">
            <v>0</v>
          </cell>
          <cell r="I298">
            <v>0.10999999999999999</v>
          </cell>
          <cell r="J298">
            <v>0</v>
          </cell>
          <cell r="K298">
            <v>0</v>
          </cell>
          <cell r="L298">
            <v>0</v>
          </cell>
          <cell r="M298">
            <v>0</v>
          </cell>
          <cell r="O298" t="str">
            <v>*</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row>
        <row r="299">
          <cell r="B299" t="str">
            <v>公寓</v>
          </cell>
          <cell r="C299" t="str">
            <v>地上建筑面积</v>
          </cell>
          <cell r="D299" t="str">
            <v>m2</v>
          </cell>
          <cell r="E299">
            <v>0</v>
          </cell>
          <cell r="F299">
            <v>0</v>
          </cell>
          <cell r="G299">
            <v>0</v>
          </cell>
          <cell r="H299">
            <v>0</v>
          </cell>
          <cell r="I299">
            <v>0.10999999999999999</v>
          </cell>
          <cell r="J299">
            <v>0</v>
          </cell>
          <cell r="K299">
            <v>0</v>
          </cell>
          <cell r="L299">
            <v>0</v>
          </cell>
          <cell r="M299">
            <v>0</v>
          </cell>
          <cell r="O299" t="str">
            <v>*</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row>
        <row r="300">
          <cell r="B300" t="str">
            <v>底商</v>
          </cell>
          <cell r="C300" t="str">
            <v>地上建筑面积</v>
          </cell>
          <cell r="D300" t="str">
            <v>m2</v>
          </cell>
          <cell r="E300">
            <v>2000</v>
          </cell>
          <cell r="F300">
            <v>404.41</v>
          </cell>
          <cell r="G300">
            <v>808820</v>
          </cell>
          <cell r="H300">
            <v>0</v>
          </cell>
          <cell r="I300">
            <v>0.10999999999999999</v>
          </cell>
          <cell r="J300">
            <v>364.33333333333337</v>
          </cell>
          <cell r="K300">
            <v>40.076666666666654</v>
          </cell>
          <cell r="L300">
            <v>728666.66666666674</v>
          </cell>
          <cell r="M300">
            <v>80153.333333333256</v>
          </cell>
          <cell r="O300" t="str">
            <v>*</v>
          </cell>
          <cell r="P300">
            <v>0</v>
          </cell>
          <cell r="Q300">
            <v>0</v>
          </cell>
          <cell r="R300">
            <v>0</v>
          </cell>
          <cell r="S300">
            <v>0</v>
          </cell>
          <cell r="T300">
            <v>0</v>
          </cell>
          <cell r="U300">
            <v>0</v>
          </cell>
          <cell r="V300">
            <v>0</v>
          </cell>
          <cell r="W300">
            <v>0</v>
          </cell>
          <cell r="X300">
            <v>0</v>
          </cell>
          <cell r="Y300">
            <v>0</v>
          </cell>
          <cell r="Z300">
            <v>0</v>
          </cell>
          <cell r="AA300">
            <v>0</v>
          </cell>
          <cell r="AB300">
            <v>728666.66666666674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728666.66666666674</v>
          </cell>
          <cell r="AS300">
            <v>0</v>
          </cell>
        </row>
        <row r="301">
          <cell r="B301" t="str">
            <v>商业街</v>
          </cell>
          <cell r="C301" t="str">
            <v>地上建筑面积</v>
          </cell>
          <cell r="D301" t="str">
            <v>m2</v>
          </cell>
          <cell r="E301">
            <v>0</v>
          </cell>
          <cell r="F301">
            <v>0</v>
          </cell>
          <cell r="G301">
            <v>0</v>
          </cell>
          <cell r="H301">
            <v>0</v>
          </cell>
          <cell r="I301">
            <v>0.10999999999999999</v>
          </cell>
          <cell r="J301">
            <v>0</v>
          </cell>
          <cell r="K301">
            <v>0</v>
          </cell>
          <cell r="L301">
            <v>0</v>
          </cell>
          <cell r="M301">
            <v>0</v>
          </cell>
          <cell r="O301" t="str">
            <v>*</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row>
        <row r="302">
          <cell r="B302" t="str">
            <v>综合楼</v>
          </cell>
          <cell r="C302" t="str">
            <v>地上建筑面积</v>
          </cell>
          <cell r="D302" t="str">
            <v>m2</v>
          </cell>
          <cell r="E302">
            <v>0</v>
          </cell>
          <cell r="F302">
            <v>0</v>
          </cell>
          <cell r="G302">
            <v>0</v>
          </cell>
          <cell r="H302">
            <v>0</v>
          </cell>
          <cell r="I302">
            <v>0.10999999999999999</v>
          </cell>
          <cell r="J302">
            <v>0</v>
          </cell>
          <cell r="K302">
            <v>0</v>
          </cell>
          <cell r="L302">
            <v>0</v>
          </cell>
          <cell r="M302">
            <v>0</v>
          </cell>
          <cell r="O302" t="str">
            <v>*</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row>
        <row r="303">
          <cell r="B303" t="str">
            <v>写字楼</v>
          </cell>
          <cell r="C303" t="str">
            <v>地上建筑面积</v>
          </cell>
          <cell r="D303" t="str">
            <v>m2</v>
          </cell>
          <cell r="E303">
            <v>0</v>
          </cell>
          <cell r="F303">
            <v>0</v>
          </cell>
          <cell r="G303">
            <v>0</v>
          </cell>
          <cell r="H303">
            <v>0</v>
          </cell>
          <cell r="I303">
            <v>0.10999999999999999</v>
          </cell>
          <cell r="J303">
            <v>0</v>
          </cell>
          <cell r="K303">
            <v>0</v>
          </cell>
          <cell r="L303">
            <v>0</v>
          </cell>
          <cell r="M303">
            <v>0</v>
          </cell>
          <cell r="O303" t="str">
            <v>*</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row>
        <row r="304">
          <cell r="B304" t="str">
            <v>酒店</v>
          </cell>
          <cell r="C304" t="str">
            <v>地上建筑面积</v>
          </cell>
          <cell r="D304" t="str">
            <v>m2</v>
          </cell>
          <cell r="E304">
            <v>0</v>
          </cell>
          <cell r="F304">
            <v>0</v>
          </cell>
          <cell r="G304">
            <v>0</v>
          </cell>
          <cell r="H304">
            <v>0</v>
          </cell>
          <cell r="I304">
            <v>0.10999999999999999</v>
          </cell>
          <cell r="J304">
            <v>0</v>
          </cell>
          <cell r="K304">
            <v>0</v>
          </cell>
          <cell r="L304">
            <v>0</v>
          </cell>
          <cell r="M304">
            <v>0</v>
          </cell>
          <cell r="O304" t="str">
            <v>*</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row>
        <row r="305">
          <cell r="B305" t="str">
            <v>医院（自持）</v>
          </cell>
          <cell r="C305" t="str">
            <v>地上建筑面积</v>
          </cell>
          <cell r="D305" t="str">
            <v>m2</v>
          </cell>
          <cell r="E305">
            <v>0</v>
          </cell>
          <cell r="F305">
            <v>0</v>
          </cell>
          <cell r="G305">
            <v>0</v>
          </cell>
          <cell r="H305">
            <v>0</v>
          </cell>
          <cell r="I305">
            <v>0.10999999999999999</v>
          </cell>
          <cell r="J305">
            <v>0</v>
          </cell>
          <cell r="K305">
            <v>0</v>
          </cell>
          <cell r="L305">
            <v>0</v>
          </cell>
          <cell r="M305">
            <v>0</v>
          </cell>
          <cell r="O305" t="str">
            <v>*</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row>
        <row r="306">
          <cell r="B306" t="str">
            <v>地上计容车库</v>
          </cell>
          <cell r="C306" t="str">
            <v>地上建筑面积</v>
          </cell>
          <cell r="D306" t="str">
            <v>m2</v>
          </cell>
          <cell r="E306">
            <v>0</v>
          </cell>
          <cell r="F306">
            <v>0</v>
          </cell>
          <cell r="G306">
            <v>0</v>
          </cell>
          <cell r="H306">
            <v>0</v>
          </cell>
          <cell r="I306">
            <v>0.10999999999999999</v>
          </cell>
          <cell r="J306">
            <v>0</v>
          </cell>
          <cell r="K306">
            <v>0</v>
          </cell>
          <cell r="L306">
            <v>0</v>
          </cell>
          <cell r="M306">
            <v>0</v>
          </cell>
          <cell r="O306" t="str">
            <v>*</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row>
        <row r="307">
          <cell r="B307" t="str">
            <v>非人防地下室</v>
          </cell>
          <cell r="C307" t="str">
            <v>地上建筑面积</v>
          </cell>
          <cell r="D307" t="str">
            <v>m2</v>
          </cell>
          <cell r="E307">
            <v>0</v>
          </cell>
          <cell r="F307">
            <v>0</v>
          </cell>
          <cell r="G307">
            <v>0</v>
          </cell>
          <cell r="H307">
            <v>0</v>
          </cell>
          <cell r="I307">
            <v>0.10999999999999999</v>
          </cell>
          <cell r="J307">
            <v>0</v>
          </cell>
          <cell r="K307">
            <v>0</v>
          </cell>
          <cell r="L307">
            <v>0</v>
          </cell>
          <cell r="M307">
            <v>0</v>
          </cell>
          <cell r="O307" t="str">
            <v>*</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row>
        <row r="308">
          <cell r="B308" t="str">
            <v>人防地下室</v>
          </cell>
          <cell r="C308" t="str">
            <v>地上建筑面积</v>
          </cell>
          <cell r="D308" t="str">
            <v>m2</v>
          </cell>
          <cell r="E308">
            <v>0</v>
          </cell>
          <cell r="F308">
            <v>0</v>
          </cell>
          <cell r="G308">
            <v>0</v>
          </cell>
          <cell r="H308">
            <v>0</v>
          </cell>
          <cell r="I308">
            <v>0.10999999999999999</v>
          </cell>
          <cell r="J308">
            <v>0</v>
          </cell>
          <cell r="K308">
            <v>0</v>
          </cell>
          <cell r="L308">
            <v>0</v>
          </cell>
          <cell r="M308">
            <v>0</v>
          </cell>
          <cell r="O308" t="str">
            <v>*</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row>
        <row r="309">
          <cell r="B309" t="str">
            <v>独立会所（综合楼）</v>
          </cell>
          <cell r="C309" t="str">
            <v>地上建筑面积</v>
          </cell>
          <cell r="D309" t="str">
            <v>m2</v>
          </cell>
          <cell r="E309">
            <v>0</v>
          </cell>
          <cell r="F309">
            <v>0</v>
          </cell>
          <cell r="G309">
            <v>0</v>
          </cell>
          <cell r="H309">
            <v>0</v>
          </cell>
          <cell r="I309">
            <v>0.10999999999999999</v>
          </cell>
          <cell r="J309">
            <v>0</v>
          </cell>
          <cell r="K309">
            <v>0</v>
          </cell>
          <cell r="L309">
            <v>0</v>
          </cell>
          <cell r="M309">
            <v>0</v>
          </cell>
          <cell r="O309" t="str">
            <v>*</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row>
        <row r="310">
          <cell r="B310" t="str">
            <v>活动中心</v>
          </cell>
          <cell r="C310" t="str">
            <v>地上建筑面积</v>
          </cell>
          <cell r="D310" t="str">
            <v>m2</v>
          </cell>
          <cell r="E310">
            <v>0</v>
          </cell>
          <cell r="F310">
            <v>0</v>
          </cell>
          <cell r="G310">
            <v>0</v>
          </cell>
          <cell r="H310">
            <v>0</v>
          </cell>
          <cell r="I310">
            <v>0.10999999999999999</v>
          </cell>
          <cell r="J310">
            <v>0</v>
          </cell>
          <cell r="K310">
            <v>0</v>
          </cell>
          <cell r="L310">
            <v>0</v>
          </cell>
          <cell r="M310">
            <v>0</v>
          </cell>
          <cell r="O310" t="str">
            <v>*</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row>
        <row r="311">
          <cell r="B311" t="str">
            <v>商贸市场</v>
          </cell>
          <cell r="C311" t="str">
            <v>地上建筑面积</v>
          </cell>
          <cell r="D311" t="str">
            <v>m2</v>
          </cell>
          <cell r="E311">
            <v>0</v>
          </cell>
          <cell r="F311">
            <v>0</v>
          </cell>
          <cell r="G311">
            <v>0</v>
          </cell>
          <cell r="H311">
            <v>0</v>
          </cell>
          <cell r="I311">
            <v>0.10999999999999999</v>
          </cell>
          <cell r="J311">
            <v>0</v>
          </cell>
          <cell r="K311">
            <v>0</v>
          </cell>
          <cell r="L311">
            <v>0</v>
          </cell>
          <cell r="M311">
            <v>0</v>
          </cell>
          <cell r="O311" t="str">
            <v>*</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row>
        <row r="312">
          <cell r="B312" t="str">
            <v>医院</v>
          </cell>
          <cell r="C312" t="str">
            <v>地上建筑面积</v>
          </cell>
          <cell r="D312" t="str">
            <v>m2</v>
          </cell>
          <cell r="E312">
            <v>0</v>
          </cell>
          <cell r="F312">
            <v>0</v>
          </cell>
          <cell r="G312">
            <v>0</v>
          </cell>
          <cell r="H312">
            <v>0</v>
          </cell>
          <cell r="I312">
            <v>0.10999999999999999</v>
          </cell>
          <cell r="J312">
            <v>0</v>
          </cell>
          <cell r="K312">
            <v>0</v>
          </cell>
          <cell r="L312">
            <v>0</v>
          </cell>
          <cell r="M312">
            <v>0</v>
          </cell>
          <cell r="O312" t="str">
            <v>*</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row>
        <row r="313">
          <cell r="B313" t="str">
            <v>幼儿园</v>
          </cell>
          <cell r="C313" t="str">
            <v>地上建筑面积</v>
          </cell>
          <cell r="D313" t="str">
            <v>m2</v>
          </cell>
          <cell r="E313">
            <v>0</v>
          </cell>
          <cell r="F313">
            <v>0</v>
          </cell>
          <cell r="G313">
            <v>0</v>
          </cell>
          <cell r="H313">
            <v>0</v>
          </cell>
          <cell r="I313">
            <v>0.10999999999999999</v>
          </cell>
          <cell r="J313">
            <v>0</v>
          </cell>
          <cell r="K313">
            <v>0</v>
          </cell>
          <cell r="L313">
            <v>0</v>
          </cell>
          <cell r="M313">
            <v>0</v>
          </cell>
          <cell r="O313" t="str">
            <v>*</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row>
        <row r="314">
          <cell r="B314" t="str">
            <v>学校</v>
          </cell>
          <cell r="C314" t="str">
            <v>地上建筑面积</v>
          </cell>
          <cell r="D314" t="str">
            <v>m2</v>
          </cell>
          <cell r="E314">
            <v>0</v>
          </cell>
          <cell r="F314">
            <v>0</v>
          </cell>
          <cell r="G314">
            <v>0</v>
          </cell>
          <cell r="H314">
            <v>0</v>
          </cell>
          <cell r="I314">
            <v>0.10999999999999999</v>
          </cell>
          <cell r="J314">
            <v>0</v>
          </cell>
          <cell r="K314">
            <v>0</v>
          </cell>
          <cell r="L314">
            <v>0</v>
          </cell>
          <cell r="M314">
            <v>0</v>
          </cell>
          <cell r="O314" t="str">
            <v>*</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row>
        <row r="315">
          <cell r="B315" t="str">
            <v>员工宿舍</v>
          </cell>
          <cell r="C315" t="str">
            <v>地上建筑面积</v>
          </cell>
          <cell r="D315" t="str">
            <v>m2</v>
          </cell>
          <cell r="E315">
            <v>0</v>
          </cell>
          <cell r="F315">
            <v>0</v>
          </cell>
          <cell r="G315">
            <v>0</v>
          </cell>
          <cell r="H315">
            <v>0</v>
          </cell>
          <cell r="I315">
            <v>0.10999999999999999</v>
          </cell>
          <cell r="J315">
            <v>0</v>
          </cell>
          <cell r="K315">
            <v>0</v>
          </cell>
          <cell r="L315">
            <v>0</v>
          </cell>
          <cell r="M315">
            <v>0</v>
          </cell>
          <cell r="O315" t="str">
            <v>*</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row>
        <row r="316">
          <cell r="A316" t="str">
            <v>03.01.04</v>
          </cell>
          <cell r="B316" t="str">
            <v>门窗工程</v>
          </cell>
          <cell r="C316" t="str">
            <v>地上建筑面积</v>
          </cell>
          <cell r="D316" t="str">
            <v>m2</v>
          </cell>
          <cell r="E316">
            <v>154715.32</v>
          </cell>
          <cell r="F316">
            <v>186.91556464839238</v>
          </cell>
          <cell r="G316">
            <v>28918701.397556715</v>
          </cell>
          <cell r="I316">
            <v>0.10999999999999988</v>
          </cell>
          <cell r="J316">
            <v>168.39240058413728</v>
          </cell>
          <cell r="K316">
            <v>18.523164064255099</v>
          </cell>
          <cell r="L316">
            <v>26052884.141942989</v>
          </cell>
          <cell r="M316">
            <v>2865817.2556137256</v>
          </cell>
          <cell r="P316">
            <v>0</v>
          </cell>
          <cell r="Q316">
            <v>4494000</v>
          </cell>
          <cell r="R316">
            <v>372740.54054054059</v>
          </cell>
          <cell r="S316">
            <v>16104816.685725363</v>
          </cell>
          <cell r="T316">
            <v>3691710.9697311404</v>
          </cell>
          <cell r="U316">
            <v>0</v>
          </cell>
          <cell r="V316">
            <v>0</v>
          </cell>
          <cell r="W316">
            <v>0</v>
          </cell>
          <cell r="X316">
            <v>0</v>
          </cell>
          <cell r="Y316">
            <v>0</v>
          </cell>
          <cell r="Z316">
            <v>0</v>
          </cell>
          <cell r="AA316">
            <v>0</v>
          </cell>
          <cell r="AB316">
            <v>215675.67567567574</v>
          </cell>
          <cell r="AC316">
            <v>0</v>
          </cell>
          <cell r="AD316">
            <v>0</v>
          </cell>
          <cell r="AE316">
            <v>0</v>
          </cell>
          <cell r="AF316">
            <v>0</v>
          </cell>
          <cell r="AG316">
            <v>1046913.2432432433</v>
          </cell>
          <cell r="AH316">
            <v>127027.02702702704</v>
          </cell>
          <cell r="AI316">
            <v>0</v>
          </cell>
          <cell r="AJ316">
            <v>0</v>
          </cell>
          <cell r="AK316">
            <v>0</v>
          </cell>
          <cell r="AL316">
            <v>0</v>
          </cell>
          <cell r="AM316">
            <v>0</v>
          </cell>
          <cell r="AN316">
            <v>0</v>
          </cell>
          <cell r="AO316">
            <v>0</v>
          </cell>
          <cell r="AP316">
            <v>0</v>
          </cell>
          <cell r="AQ316">
            <v>0</v>
          </cell>
          <cell r="AR316">
            <v>26052884.141942989</v>
          </cell>
          <cell r="AS316">
            <v>0</v>
          </cell>
        </row>
        <row r="317">
          <cell r="B317" t="str">
            <v>单元门</v>
          </cell>
          <cell r="C317" t="str">
            <v>樘数</v>
          </cell>
          <cell r="D317" t="str">
            <v>樘</v>
          </cell>
          <cell r="E317">
            <v>10</v>
          </cell>
          <cell r="F317">
            <v>9900</v>
          </cell>
          <cell r="G317">
            <v>99000</v>
          </cell>
          <cell r="I317">
            <v>0.10999999999999985</v>
          </cell>
          <cell r="J317">
            <v>8918.9189189189201</v>
          </cell>
          <cell r="K317">
            <v>981.0810810810799</v>
          </cell>
          <cell r="L317">
            <v>89189.189189189201</v>
          </cell>
          <cell r="M317">
            <v>9810.810810810799</v>
          </cell>
          <cell r="P317">
            <v>0</v>
          </cell>
          <cell r="Q317">
            <v>0</v>
          </cell>
          <cell r="R317">
            <v>0</v>
          </cell>
          <cell r="S317">
            <v>71351.351351351361</v>
          </cell>
          <cell r="T317">
            <v>17837.83783783784</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89189.189189189201</v>
          </cell>
          <cell r="AS317">
            <v>0</v>
          </cell>
        </row>
        <row r="318">
          <cell r="B318">
            <v>100</v>
          </cell>
          <cell r="C318" t="str">
            <v>樘数</v>
          </cell>
          <cell r="D318" t="str">
            <v>樘</v>
          </cell>
          <cell r="E318">
            <v>0</v>
          </cell>
          <cell r="F318">
            <v>0</v>
          </cell>
          <cell r="G318">
            <v>0</v>
          </cell>
          <cell r="H318">
            <v>0</v>
          </cell>
          <cell r="I318">
            <v>0.10999999999999999</v>
          </cell>
          <cell r="J318">
            <v>0</v>
          </cell>
          <cell r="K318">
            <v>0</v>
          </cell>
          <cell r="L318">
            <v>0</v>
          </cell>
          <cell r="M318">
            <v>0</v>
          </cell>
          <cell r="O318" t="str">
            <v>*</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row>
        <row r="319">
          <cell r="B319">
            <v>125</v>
          </cell>
          <cell r="C319" t="str">
            <v>樘数</v>
          </cell>
          <cell r="D319" t="str">
            <v>樘</v>
          </cell>
          <cell r="E319">
            <v>0</v>
          </cell>
          <cell r="F319">
            <v>0</v>
          </cell>
          <cell r="G319">
            <v>0</v>
          </cell>
          <cell r="H319">
            <v>0</v>
          </cell>
          <cell r="I319">
            <v>0.10999999999999999</v>
          </cell>
          <cell r="J319">
            <v>0</v>
          </cell>
          <cell r="K319">
            <v>0</v>
          </cell>
          <cell r="L319">
            <v>0</v>
          </cell>
          <cell r="M319">
            <v>0</v>
          </cell>
          <cell r="O319" t="str">
            <v>*</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row>
        <row r="320">
          <cell r="B320">
            <v>150</v>
          </cell>
          <cell r="C320" t="str">
            <v>樘数</v>
          </cell>
          <cell r="D320" t="str">
            <v>樘</v>
          </cell>
          <cell r="E320">
            <v>0</v>
          </cell>
          <cell r="F320">
            <v>0</v>
          </cell>
          <cell r="G320">
            <v>0</v>
          </cell>
          <cell r="H320">
            <v>0</v>
          </cell>
          <cell r="I320">
            <v>0.10999999999999999</v>
          </cell>
          <cell r="J320">
            <v>0</v>
          </cell>
          <cell r="K320">
            <v>0</v>
          </cell>
          <cell r="L320">
            <v>0</v>
          </cell>
          <cell r="M320">
            <v>0</v>
          </cell>
          <cell r="O320" t="str">
            <v>*</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row>
        <row r="321">
          <cell r="B321" t="str">
            <v>1T4(30F)</v>
          </cell>
          <cell r="C321" t="str">
            <v>樘数</v>
          </cell>
          <cell r="D321" t="str">
            <v>樘</v>
          </cell>
          <cell r="E321">
            <v>8</v>
          </cell>
          <cell r="F321">
            <v>9900</v>
          </cell>
          <cell r="G321">
            <v>79200</v>
          </cell>
          <cell r="H321">
            <v>0</v>
          </cell>
          <cell r="I321">
            <v>0.10999999999999999</v>
          </cell>
          <cell r="J321">
            <v>8918.9189189189201</v>
          </cell>
          <cell r="K321">
            <v>981.0810810810799</v>
          </cell>
          <cell r="L321">
            <v>71351.351351351361</v>
          </cell>
          <cell r="M321">
            <v>7848.6486486486392</v>
          </cell>
          <cell r="O321" t="str">
            <v>*</v>
          </cell>
          <cell r="P321">
            <v>0</v>
          </cell>
          <cell r="Q321">
            <v>0</v>
          </cell>
          <cell r="R321">
            <v>0</v>
          </cell>
          <cell r="S321">
            <v>71351.351351351361</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71351.351351351361</v>
          </cell>
          <cell r="AS321">
            <v>0</v>
          </cell>
        </row>
        <row r="322">
          <cell r="B322" t="str">
            <v>1T3(30F)</v>
          </cell>
          <cell r="C322" t="str">
            <v>樘数</v>
          </cell>
          <cell r="D322" t="str">
            <v>樘</v>
          </cell>
          <cell r="E322">
            <v>2</v>
          </cell>
          <cell r="F322">
            <v>9900</v>
          </cell>
          <cell r="G322">
            <v>19800</v>
          </cell>
          <cell r="H322">
            <v>0</v>
          </cell>
          <cell r="I322">
            <v>0.10999999999999999</v>
          </cell>
          <cell r="J322">
            <v>8918.9189189189201</v>
          </cell>
          <cell r="K322">
            <v>981.0810810810799</v>
          </cell>
          <cell r="L322">
            <v>17837.83783783784</v>
          </cell>
          <cell r="M322">
            <v>1962.1621621621598</v>
          </cell>
          <cell r="O322" t="str">
            <v>*</v>
          </cell>
          <cell r="P322">
            <v>0</v>
          </cell>
          <cell r="Q322">
            <v>0</v>
          </cell>
          <cell r="R322">
            <v>0</v>
          </cell>
          <cell r="S322">
            <v>0</v>
          </cell>
          <cell r="T322">
            <v>17837.83783783784</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17837.83783783784</v>
          </cell>
          <cell r="AS322">
            <v>0</v>
          </cell>
        </row>
        <row r="323">
          <cell r="B323" t="str">
            <v>LOFT(31F)</v>
          </cell>
          <cell r="C323" t="str">
            <v>樘数</v>
          </cell>
          <cell r="D323" t="str">
            <v>樘</v>
          </cell>
          <cell r="E323">
            <v>0</v>
          </cell>
          <cell r="F323">
            <v>0</v>
          </cell>
          <cell r="G323">
            <v>0</v>
          </cell>
          <cell r="H323">
            <v>0</v>
          </cell>
          <cell r="I323">
            <v>0.10999999999999999</v>
          </cell>
          <cell r="J323">
            <v>0</v>
          </cell>
          <cell r="K323">
            <v>0</v>
          </cell>
          <cell r="L323">
            <v>0</v>
          </cell>
          <cell r="M323">
            <v>0</v>
          </cell>
          <cell r="O323" t="str">
            <v>*</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row>
        <row r="324">
          <cell r="B324" t="str">
            <v>1T2(31F)</v>
          </cell>
          <cell r="C324" t="str">
            <v>樘数</v>
          </cell>
          <cell r="D324" t="str">
            <v>樘</v>
          </cell>
          <cell r="E324">
            <v>0</v>
          </cell>
          <cell r="F324">
            <v>0</v>
          </cell>
          <cell r="G324">
            <v>0</v>
          </cell>
          <cell r="H324">
            <v>0</v>
          </cell>
          <cell r="I324">
            <v>0.10999999999999999</v>
          </cell>
          <cell r="J324">
            <v>0</v>
          </cell>
          <cell r="K324">
            <v>0</v>
          </cell>
          <cell r="L324">
            <v>0</v>
          </cell>
          <cell r="M324">
            <v>0</v>
          </cell>
          <cell r="O324" t="str">
            <v>*</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row>
        <row r="325">
          <cell r="B325" t="str">
            <v>1T8(32F)</v>
          </cell>
          <cell r="C325" t="str">
            <v>樘数</v>
          </cell>
          <cell r="D325" t="str">
            <v>樘</v>
          </cell>
          <cell r="E325">
            <v>0</v>
          </cell>
          <cell r="F325">
            <v>0</v>
          </cell>
          <cell r="G325">
            <v>0</v>
          </cell>
          <cell r="H325">
            <v>0</v>
          </cell>
          <cell r="I325">
            <v>0.10999999999999999</v>
          </cell>
          <cell r="J325">
            <v>0</v>
          </cell>
          <cell r="K325">
            <v>0</v>
          </cell>
          <cell r="L325">
            <v>0</v>
          </cell>
          <cell r="M325">
            <v>0</v>
          </cell>
          <cell r="O325" t="str">
            <v>*</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row>
        <row r="326">
          <cell r="B326" t="str">
            <v>中高层洋房</v>
          </cell>
          <cell r="C326" t="str">
            <v>樘数</v>
          </cell>
          <cell r="D326" t="str">
            <v>樘</v>
          </cell>
          <cell r="E326">
            <v>0</v>
          </cell>
          <cell r="F326">
            <v>0</v>
          </cell>
          <cell r="G326">
            <v>0</v>
          </cell>
          <cell r="H326">
            <v>0</v>
          </cell>
          <cell r="I326">
            <v>0.10999999999999999</v>
          </cell>
          <cell r="J326">
            <v>0</v>
          </cell>
          <cell r="K326">
            <v>0</v>
          </cell>
          <cell r="L326">
            <v>0</v>
          </cell>
          <cell r="M326">
            <v>0</v>
          </cell>
          <cell r="O326" t="str">
            <v>*</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row>
        <row r="327">
          <cell r="B327" t="str">
            <v>115高层洋房</v>
          </cell>
          <cell r="C327" t="str">
            <v>樘数</v>
          </cell>
          <cell r="D327" t="str">
            <v>樘</v>
          </cell>
          <cell r="E327">
            <v>0</v>
          </cell>
          <cell r="F327">
            <v>0</v>
          </cell>
          <cell r="G327">
            <v>0</v>
          </cell>
          <cell r="H327">
            <v>0</v>
          </cell>
          <cell r="I327">
            <v>0.10999999999999999</v>
          </cell>
          <cell r="J327">
            <v>0</v>
          </cell>
          <cell r="K327">
            <v>0</v>
          </cell>
          <cell r="L327">
            <v>0</v>
          </cell>
          <cell r="M327">
            <v>0</v>
          </cell>
          <cell r="N327" t="str">
            <v>参照惠阳十一期项目集团审核数据，单元门共计9m2，单价1500元/m2，考虑地弹簧、门拉手合页等。</v>
          </cell>
          <cell r="O327" t="str">
            <v>*</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row>
        <row r="328">
          <cell r="B328" t="str">
            <v>超高层洋房</v>
          </cell>
          <cell r="C328" t="str">
            <v>樘数</v>
          </cell>
          <cell r="D328" t="str">
            <v>樘</v>
          </cell>
          <cell r="E328">
            <v>0</v>
          </cell>
          <cell r="F328">
            <v>0</v>
          </cell>
          <cell r="G328">
            <v>0</v>
          </cell>
          <cell r="H328">
            <v>0</v>
          </cell>
          <cell r="I328">
            <v>0.10999999999999999</v>
          </cell>
          <cell r="J328">
            <v>0</v>
          </cell>
          <cell r="K328">
            <v>0</v>
          </cell>
          <cell r="L328">
            <v>0</v>
          </cell>
          <cell r="M328">
            <v>0</v>
          </cell>
          <cell r="O328" t="str">
            <v>*</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row>
        <row r="329">
          <cell r="B329" t="str">
            <v>公寓</v>
          </cell>
          <cell r="C329" t="str">
            <v>樘数</v>
          </cell>
          <cell r="D329" t="str">
            <v>樘</v>
          </cell>
          <cell r="E329">
            <v>0</v>
          </cell>
          <cell r="F329">
            <v>0</v>
          </cell>
          <cell r="G329">
            <v>0</v>
          </cell>
          <cell r="H329">
            <v>0</v>
          </cell>
          <cell r="I329">
            <v>0.10999999999999999</v>
          </cell>
          <cell r="J329">
            <v>0</v>
          </cell>
          <cell r="K329">
            <v>0</v>
          </cell>
          <cell r="L329">
            <v>0</v>
          </cell>
          <cell r="M329">
            <v>0</v>
          </cell>
          <cell r="O329" t="str">
            <v>*</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row>
        <row r="330">
          <cell r="B330" t="str">
            <v>底商</v>
          </cell>
          <cell r="C330" t="str">
            <v>樘数</v>
          </cell>
          <cell r="D330" t="str">
            <v>樘</v>
          </cell>
          <cell r="E330">
            <v>0</v>
          </cell>
          <cell r="F330">
            <v>0</v>
          </cell>
          <cell r="G330">
            <v>0</v>
          </cell>
          <cell r="H330">
            <v>0</v>
          </cell>
          <cell r="I330">
            <v>0.10999999999999999</v>
          </cell>
          <cell r="J330">
            <v>0</v>
          </cell>
          <cell r="K330">
            <v>0</v>
          </cell>
          <cell r="L330">
            <v>0</v>
          </cell>
          <cell r="M330">
            <v>0</v>
          </cell>
          <cell r="O330" t="str">
            <v>*</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row>
        <row r="331">
          <cell r="B331" t="str">
            <v>商业街</v>
          </cell>
          <cell r="C331" t="str">
            <v>樘数</v>
          </cell>
          <cell r="D331" t="str">
            <v>樘</v>
          </cell>
          <cell r="E331">
            <v>0</v>
          </cell>
          <cell r="F331">
            <v>0</v>
          </cell>
          <cell r="G331">
            <v>0</v>
          </cell>
          <cell r="H331">
            <v>0</v>
          </cell>
          <cell r="I331">
            <v>0.10999999999999999</v>
          </cell>
          <cell r="J331">
            <v>0</v>
          </cell>
          <cell r="K331">
            <v>0</v>
          </cell>
          <cell r="L331">
            <v>0</v>
          </cell>
          <cell r="M331">
            <v>0</v>
          </cell>
          <cell r="O331" t="str">
            <v>*</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row>
        <row r="332">
          <cell r="B332" t="str">
            <v>综合楼</v>
          </cell>
          <cell r="C332" t="str">
            <v>樘数</v>
          </cell>
          <cell r="D332" t="str">
            <v>樘</v>
          </cell>
          <cell r="E332">
            <v>0</v>
          </cell>
          <cell r="F332">
            <v>0</v>
          </cell>
          <cell r="G332">
            <v>0</v>
          </cell>
          <cell r="H332">
            <v>0</v>
          </cell>
          <cell r="I332">
            <v>0.10999999999999999</v>
          </cell>
          <cell r="J332">
            <v>0</v>
          </cell>
          <cell r="K332">
            <v>0</v>
          </cell>
          <cell r="L332">
            <v>0</v>
          </cell>
          <cell r="M332">
            <v>0</v>
          </cell>
          <cell r="O332" t="str">
            <v>*</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row>
        <row r="333">
          <cell r="B333" t="str">
            <v>写字楼</v>
          </cell>
          <cell r="C333" t="str">
            <v>樘数</v>
          </cell>
          <cell r="D333" t="str">
            <v>樘</v>
          </cell>
          <cell r="E333">
            <v>0</v>
          </cell>
          <cell r="F333">
            <v>0</v>
          </cell>
          <cell r="G333">
            <v>0</v>
          </cell>
          <cell r="H333">
            <v>0</v>
          </cell>
          <cell r="I333">
            <v>0.10999999999999999</v>
          </cell>
          <cell r="J333">
            <v>0</v>
          </cell>
          <cell r="K333">
            <v>0</v>
          </cell>
          <cell r="L333">
            <v>0</v>
          </cell>
          <cell r="M333">
            <v>0</v>
          </cell>
          <cell r="O333" t="str">
            <v>*</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row>
        <row r="334">
          <cell r="B334" t="str">
            <v>酒店</v>
          </cell>
          <cell r="C334" t="str">
            <v>樘数</v>
          </cell>
          <cell r="D334" t="str">
            <v>樘</v>
          </cell>
          <cell r="E334">
            <v>0</v>
          </cell>
          <cell r="F334">
            <v>0</v>
          </cell>
          <cell r="G334">
            <v>0</v>
          </cell>
          <cell r="H334">
            <v>0</v>
          </cell>
          <cell r="I334">
            <v>0.10999999999999999</v>
          </cell>
          <cell r="J334">
            <v>0</v>
          </cell>
          <cell r="K334">
            <v>0</v>
          </cell>
          <cell r="L334">
            <v>0</v>
          </cell>
          <cell r="M334">
            <v>0</v>
          </cell>
          <cell r="O334" t="str">
            <v>*</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row>
        <row r="335">
          <cell r="B335" t="str">
            <v>医院（自持）</v>
          </cell>
          <cell r="C335" t="str">
            <v>樘数</v>
          </cell>
          <cell r="D335" t="str">
            <v>樘</v>
          </cell>
          <cell r="E335">
            <v>0</v>
          </cell>
          <cell r="F335">
            <v>0</v>
          </cell>
          <cell r="G335">
            <v>0</v>
          </cell>
          <cell r="H335">
            <v>0</v>
          </cell>
          <cell r="I335">
            <v>0.10999999999999999</v>
          </cell>
          <cell r="J335">
            <v>0</v>
          </cell>
          <cell r="K335">
            <v>0</v>
          </cell>
          <cell r="L335">
            <v>0</v>
          </cell>
          <cell r="M335">
            <v>0</v>
          </cell>
          <cell r="O335" t="str">
            <v>*</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row>
        <row r="336">
          <cell r="B336" t="str">
            <v>地上计容车库</v>
          </cell>
          <cell r="C336" t="str">
            <v>樘数</v>
          </cell>
          <cell r="D336" t="str">
            <v>樘</v>
          </cell>
          <cell r="E336">
            <v>0</v>
          </cell>
          <cell r="F336">
            <v>0</v>
          </cell>
          <cell r="G336">
            <v>0</v>
          </cell>
          <cell r="H336">
            <v>0</v>
          </cell>
          <cell r="I336">
            <v>0.10999999999999999</v>
          </cell>
          <cell r="J336">
            <v>0</v>
          </cell>
          <cell r="K336">
            <v>0</v>
          </cell>
          <cell r="L336">
            <v>0</v>
          </cell>
          <cell r="M336">
            <v>0</v>
          </cell>
          <cell r="O336" t="str">
            <v>*</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row>
        <row r="337">
          <cell r="B337" t="str">
            <v>非人防地下室</v>
          </cell>
          <cell r="C337" t="str">
            <v>樘数</v>
          </cell>
          <cell r="D337" t="str">
            <v>樘</v>
          </cell>
          <cell r="E337">
            <v>0</v>
          </cell>
          <cell r="F337">
            <v>0</v>
          </cell>
          <cell r="G337">
            <v>0</v>
          </cell>
          <cell r="H337">
            <v>0</v>
          </cell>
          <cell r="I337">
            <v>0.10999999999999999</v>
          </cell>
          <cell r="J337">
            <v>0</v>
          </cell>
          <cell r="K337">
            <v>0</v>
          </cell>
          <cell r="L337">
            <v>0</v>
          </cell>
          <cell r="M337">
            <v>0</v>
          </cell>
          <cell r="O337" t="str">
            <v>*</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row>
        <row r="338">
          <cell r="B338" t="str">
            <v>人防地下室</v>
          </cell>
          <cell r="C338" t="str">
            <v>樘数</v>
          </cell>
          <cell r="D338" t="str">
            <v>樘</v>
          </cell>
          <cell r="E338">
            <v>0</v>
          </cell>
          <cell r="F338">
            <v>0</v>
          </cell>
          <cell r="G338">
            <v>0</v>
          </cell>
          <cell r="H338">
            <v>0</v>
          </cell>
          <cell r="I338">
            <v>0.10999999999999999</v>
          </cell>
          <cell r="J338">
            <v>0</v>
          </cell>
          <cell r="K338">
            <v>0</v>
          </cell>
          <cell r="L338">
            <v>0</v>
          </cell>
          <cell r="M338">
            <v>0</v>
          </cell>
          <cell r="O338" t="str">
            <v>*</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row>
        <row r="339">
          <cell r="B339" t="str">
            <v>独立会所（综合楼）</v>
          </cell>
          <cell r="C339" t="str">
            <v>樘数</v>
          </cell>
          <cell r="D339" t="str">
            <v>樘</v>
          </cell>
          <cell r="E339">
            <v>0</v>
          </cell>
          <cell r="F339">
            <v>0</v>
          </cell>
          <cell r="G339">
            <v>0</v>
          </cell>
          <cell r="H339">
            <v>0</v>
          </cell>
          <cell r="I339">
            <v>0.10999999999999999</v>
          </cell>
          <cell r="J339">
            <v>0</v>
          </cell>
          <cell r="K339">
            <v>0</v>
          </cell>
          <cell r="L339">
            <v>0</v>
          </cell>
          <cell r="M339">
            <v>0</v>
          </cell>
          <cell r="O339" t="str">
            <v>*</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row>
        <row r="340">
          <cell r="B340" t="str">
            <v>活动中心</v>
          </cell>
          <cell r="C340" t="str">
            <v>樘数</v>
          </cell>
          <cell r="D340" t="str">
            <v>樘</v>
          </cell>
          <cell r="E340">
            <v>0</v>
          </cell>
          <cell r="F340">
            <v>0</v>
          </cell>
          <cell r="G340">
            <v>0</v>
          </cell>
          <cell r="H340">
            <v>0</v>
          </cell>
          <cell r="I340">
            <v>0.10999999999999999</v>
          </cell>
          <cell r="J340">
            <v>0</v>
          </cell>
          <cell r="K340">
            <v>0</v>
          </cell>
          <cell r="L340">
            <v>0</v>
          </cell>
          <cell r="M340">
            <v>0</v>
          </cell>
          <cell r="O340" t="str">
            <v>*</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row>
        <row r="341">
          <cell r="B341" t="str">
            <v>商贸市场</v>
          </cell>
          <cell r="C341" t="str">
            <v>樘数</v>
          </cell>
          <cell r="D341" t="str">
            <v>樘</v>
          </cell>
          <cell r="E341">
            <v>0</v>
          </cell>
          <cell r="F341">
            <v>0</v>
          </cell>
          <cell r="G341">
            <v>0</v>
          </cell>
          <cell r="H341">
            <v>0</v>
          </cell>
          <cell r="I341">
            <v>0.10999999999999999</v>
          </cell>
          <cell r="J341">
            <v>0</v>
          </cell>
          <cell r="K341">
            <v>0</v>
          </cell>
          <cell r="L341">
            <v>0</v>
          </cell>
          <cell r="M341">
            <v>0</v>
          </cell>
          <cell r="O341" t="str">
            <v>*</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row>
        <row r="342">
          <cell r="B342" t="str">
            <v>医院</v>
          </cell>
          <cell r="C342" t="str">
            <v>樘数</v>
          </cell>
          <cell r="D342" t="str">
            <v>樘</v>
          </cell>
          <cell r="E342">
            <v>0</v>
          </cell>
          <cell r="F342">
            <v>0</v>
          </cell>
          <cell r="G342">
            <v>0</v>
          </cell>
          <cell r="H342">
            <v>0</v>
          </cell>
          <cell r="I342">
            <v>0.10999999999999999</v>
          </cell>
          <cell r="J342">
            <v>0</v>
          </cell>
          <cell r="K342">
            <v>0</v>
          </cell>
          <cell r="L342">
            <v>0</v>
          </cell>
          <cell r="M342">
            <v>0</v>
          </cell>
          <cell r="O342" t="str">
            <v>*</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row>
        <row r="343">
          <cell r="B343" t="str">
            <v>幼儿园</v>
          </cell>
          <cell r="C343" t="str">
            <v>樘数</v>
          </cell>
          <cell r="D343" t="str">
            <v>樘</v>
          </cell>
          <cell r="E343">
            <v>0</v>
          </cell>
          <cell r="F343">
            <v>0</v>
          </cell>
          <cell r="G343">
            <v>0</v>
          </cell>
          <cell r="H343">
            <v>0</v>
          </cell>
          <cell r="I343">
            <v>0.10999999999999999</v>
          </cell>
          <cell r="J343">
            <v>0</v>
          </cell>
          <cell r="K343">
            <v>0</v>
          </cell>
          <cell r="L343">
            <v>0</v>
          </cell>
          <cell r="M343">
            <v>0</v>
          </cell>
          <cell r="O343" t="str">
            <v>*</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row>
        <row r="344">
          <cell r="B344" t="str">
            <v>学校</v>
          </cell>
          <cell r="C344" t="str">
            <v>樘数</v>
          </cell>
          <cell r="D344" t="str">
            <v>樘</v>
          </cell>
          <cell r="E344">
            <v>0</v>
          </cell>
          <cell r="F344">
            <v>0</v>
          </cell>
          <cell r="G344">
            <v>0</v>
          </cell>
          <cell r="H344">
            <v>0</v>
          </cell>
          <cell r="I344">
            <v>0.10999999999999999</v>
          </cell>
          <cell r="J344">
            <v>0</v>
          </cell>
          <cell r="K344">
            <v>0</v>
          </cell>
          <cell r="L344">
            <v>0</v>
          </cell>
          <cell r="M344">
            <v>0</v>
          </cell>
          <cell r="O344" t="str">
            <v>*</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row>
        <row r="345">
          <cell r="B345" t="str">
            <v>员工宿舍</v>
          </cell>
          <cell r="C345" t="str">
            <v>樘数</v>
          </cell>
          <cell r="D345" t="str">
            <v>樘</v>
          </cell>
          <cell r="E345">
            <v>0</v>
          </cell>
          <cell r="F345">
            <v>0</v>
          </cell>
          <cell r="G345">
            <v>0</v>
          </cell>
          <cell r="H345">
            <v>0</v>
          </cell>
          <cell r="I345">
            <v>0.10999999999999999</v>
          </cell>
          <cell r="J345">
            <v>0</v>
          </cell>
          <cell r="K345">
            <v>0</v>
          </cell>
          <cell r="L345">
            <v>0</v>
          </cell>
          <cell r="M345">
            <v>0</v>
          </cell>
          <cell r="O345" t="str">
            <v>*</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row>
        <row r="346">
          <cell r="B346" t="str">
            <v>入户门</v>
          </cell>
          <cell r="C346" t="str">
            <v>樘数</v>
          </cell>
          <cell r="D346" t="str">
            <v>樘</v>
          </cell>
          <cell r="E346">
            <v>1380</v>
          </cell>
          <cell r="F346">
            <v>4089.9340721425478</v>
          </cell>
          <cell r="G346">
            <v>5644109.0195567161</v>
          </cell>
          <cell r="I346">
            <v>0.1099999999999999</v>
          </cell>
          <cell r="J346">
            <v>3684.625290218512</v>
          </cell>
          <cell r="K346">
            <v>405.30878192403588</v>
          </cell>
          <cell r="L346">
            <v>5084782.9005015464</v>
          </cell>
          <cell r="M346">
            <v>559326.11905516963</v>
          </cell>
          <cell r="P346">
            <v>0</v>
          </cell>
          <cell r="Q346">
            <v>1010081.0810810812</v>
          </cell>
          <cell r="R346">
            <v>67326.126126126139</v>
          </cell>
          <cell r="S346">
            <v>3383389.858698335</v>
          </cell>
          <cell r="T346">
            <v>623985.83459600445</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5084782.9005015464</v>
          </cell>
          <cell r="AS346">
            <v>0</v>
          </cell>
        </row>
        <row r="347">
          <cell r="B347">
            <v>100</v>
          </cell>
          <cell r="C347" t="str">
            <v>樘数</v>
          </cell>
          <cell r="D347" t="str">
            <v>樘</v>
          </cell>
          <cell r="E347">
            <v>0</v>
          </cell>
          <cell r="F347">
            <v>0</v>
          </cell>
          <cell r="G347">
            <v>0</v>
          </cell>
          <cell r="H347">
            <v>0</v>
          </cell>
          <cell r="I347">
            <v>0.10999999999999999</v>
          </cell>
          <cell r="J347">
            <v>0</v>
          </cell>
          <cell r="K347">
            <v>0</v>
          </cell>
          <cell r="L347">
            <v>0</v>
          </cell>
          <cell r="M347">
            <v>0</v>
          </cell>
          <cell r="N347" t="str">
            <v>入户双开入户门按照现代家居最新包干单价4300元/樘，入户门锁1038元，约5338元/樘</v>
          </cell>
          <cell r="O347" t="str">
            <v>*</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row>
        <row r="348">
          <cell r="B348">
            <v>125</v>
          </cell>
          <cell r="C348" t="str">
            <v>樘数</v>
          </cell>
          <cell r="D348" t="str">
            <v>樘</v>
          </cell>
          <cell r="E348">
            <v>210</v>
          </cell>
          <cell r="F348">
            <v>5339</v>
          </cell>
          <cell r="G348">
            <v>1121190</v>
          </cell>
          <cell r="H348">
            <v>0</v>
          </cell>
          <cell r="I348">
            <v>0.10999999999999999</v>
          </cell>
          <cell r="J348">
            <v>4809.9099099099103</v>
          </cell>
          <cell r="K348">
            <v>529.09009009008969</v>
          </cell>
          <cell r="L348">
            <v>1010081.0810810812</v>
          </cell>
          <cell r="M348">
            <v>111108.91891891882</v>
          </cell>
          <cell r="O348" t="str">
            <v>*</v>
          </cell>
          <cell r="P348">
            <v>0</v>
          </cell>
          <cell r="Q348">
            <v>1010081.0810810812</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1010081.0810810812</v>
          </cell>
          <cell r="AS348">
            <v>0</v>
          </cell>
        </row>
        <row r="349">
          <cell r="B349">
            <v>150</v>
          </cell>
          <cell r="C349" t="str">
            <v>樘数</v>
          </cell>
          <cell r="D349" t="str">
            <v>樘</v>
          </cell>
          <cell r="E349">
            <v>14</v>
          </cell>
          <cell r="F349">
            <v>5338</v>
          </cell>
          <cell r="G349">
            <v>74732</v>
          </cell>
          <cell r="H349">
            <v>0</v>
          </cell>
          <cell r="I349">
            <v>0.10999999999999999</v>
          </cell>
          <cell r="J349">
            <v>4809.0090090090098</v>
          </cell>
          <cell r="K349">
            <v>528.99099099099021</v>
          </cell>
          <cell r="L349">
            <v>67326.126126126139</v>
          </cell>
          <cell r="M349">
            <v>7405.8738738738612</v>
          </cell>
          <cell r="N349" t="str">
            <v>入户双开入户门按照现代家居最新包干单价4300元/樘，入户门锁1038元，约5338元/樘</v>
          </cell>
          <cell r="O349" t="str">
            <v>*</v>
          </cell>
          <cell r="P349">
            <v>0</v>
          </cell>
          <cell r="Q349">
            <v>0</v>
          </cell>
          <cell r="R349">
            <v>67326.126126126139</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67326.126126126139</v>
          </cell>
          <cell r="AS349">
            <v>0</v>
          </cell>
        </row>
        <row r="350">
          <cell r="B350" t="str">
            <v>1T4(30F)</v>
          </cell>
          <cell r="C350" t="str">
            <v>樘数</v>
          </cell>
          <cell r="D350" t="str">
            <v>樘</v>
          </cell>
          <cell r="E350">
            <v>976</v>
          </cell>
          <cell r="F350">
            <v>3847.9126466753601</v>
          </cell>
          <cell r="G350">
            <v>3755562.7431551516</v>
          </cell>
          <cell r="H350">
            <v>0</v>
          </cell>
          <cell r="I350">
            <v>0.10999999999999999</v>
          </cell>
          <cell r="J350">
            <v>3466.5879699778025</v>
          </cell>
          <cell r="K350">
            <v>381.32467669755761</v>
          </cell>
          <cell r="L350">
            <v>3383389.858698335</v>
          </cell>
          <cell r="M350">
            <v>372172.8844568166</v>
          </cell>
          <cell r="O350" t="str">
            <v>*</v>
          </cell>
          <cell r="P350">
            <v>0</v>
          </cell>
          <cell r="Q350">
            <v>0</v>
          </cell>
          <cell r="R350">
            <v>0</v>
          </cell>
          <cell r="S350">
            <v>3383389.858698335</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3383389.858698335</v>
          </cell>
          <cell r="AS350">
            <v>0</v>
          </cell>
        </row>
        <row r="351">
          <cell r="B351" t="str">
            <v>1T3(30F)</v>
          </cell>
          <cell r="C351" t="str">
            <v>樘数</v>
          </cell>
          <cell r="D351" t="str">
            <v>樘</v>
          </cell>
          <cell r="E351">
            <v>180</v>
          </cell>
          <cell r="F351">
            <v>3847.9126466753601</v>
          </cell>
          <cell r="G351">
            <v>692624.27640156483</v>
          </cell>
          <cell r="H351">
            <v>0</v>
          </cell>
          <cell r="I351">
            <v>0.10999999999999999</v>
          </cell>
          <cell r="J351">
            <v>3466.5879699778025</v>
          </cell>
          <cell r="K351">
            <v>381.32467669755761</v>
          </cell>
          <cell r="L351">
            <v>623985.83459600445</v>
          </cell>
          <cell r="M351">
            <v>68638.441805560375</v>
          </cell>
          <cell r="N351" t="str">
            <v>入户双开入户门按照现代家居最新包干单价4300元/樘，入户门锁1038元，约5338元/樘</v>
          </cell>
          <cell r="O351" t="str">
            <v>*</v>
          </cell>
          <cell r="P351">
            <v>0</v>
          </cell>
          <cell r="Q351">
            <v>0</v>
          </cell>
          <cell r="R351">
            <v>0</v>
          </cell>
          <cell r="S351">
            <v>0</v>
          </cell>
          <cell r="T351">
            <v>623985.83459600445</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623985.83459600445</v>
          </cell>
          <cell r="AS351">
            <v>0</v>
          </cell>
        </row>
        <row r="352">
          <cell r="B352" t="str">
            <v>LOFT(31F)</v>
          </cell>
          <cell r="C352" t="str">
            <v>樘数</v>
          </cell>
          <cell r="D352" t="str">
            <v>樘</v>
          </cell>
          <cell r="E352">
            <v>0</v>
          </cell>
          <cell r="F352">
            <v>0</v>
          </cell>
          <cell r="G352">
            <v>0</v>
          </cell>
          <cell r="H352">
            <v>0</v>
          </cell>
          <cell r="I352">
            <v>0.10999999999999999</v>
          </cell>
          <cell r="J352">
            <v>0</v>
          </cell>
          <cell r="K352">
            <v>0</v>
          </cell>
          <cell r="L352">
            <v>0</v>
          </cell>
          <cell r="M352">
            <v>0</v>
          </cell>
          <cell r="O352" t="str">
            <v>*</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row>
        <row r="353">
          <cell r="B353" t="str">
            <v>1T2(31F)</v>
          </cell>
          <cell r="C353" t="str">
            <v>樘数</v>
          </cell>
          <cell r="D353" t="str">
            <v>樘</v>
          </cell>
          <cell r="E353">
            <v>0</v>
          </cell>
          <cell r="F353">
            <v>0</v>
          </cell>
          <cell r="G353">
            <v>0</v>
          </cell>
          <cell r="H353">
            <v>0</v>
          </cell>
          <cell r="I353">
            <v>0.10999999999999999</v>
          </cell>
          <cell r="J353">
            <v>0</v>
          </cell>
          <cell r="K353">
            <v>0</v>
          </cell>
          <cell r="L353">
            <v>0</v>
          </cell>
          <cell r="M353">
            <v>0</v>
          </cell>
          <cell r="O353" t="str">
            <v>*</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row>
        <row r="354">
          <cell r="B354" t="str">
            <v>1T8(32F)</v>
          </cell>
          <cell r="C354" t="str">
            <v>樘数</v>
          </cell>
          <cell r="D354" t="str">
            <v>樘</v>
          </cell>
          <cell r="E354">
            <v>0</v>
          </cell>
          <cell r="F354">
            <v>0</v>
          </cell>
          <cell r="G354">
            <v>0</v>
          </cell>
          <cell r="H354">
            <v>0</v>
          </cell>
          <cell r="I354">
            <v>0.10999999999999999</v>
          </cell>
          <cell r="J354">
            <v>0</v>
          </cell>
          <cell r="K354">
            <v>0</v>
          </cell>
          <cell r="L354">
            <v>0</v>
          </cell>
          <cell r="M354">
            <v>0</v>
          </cell>
          <cell r="O354" t="str">
            <v>*</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row>
        <row r="355">
          <cell r="B355" t="str">
            <v>中高层洋房</v>
          </cell>
          <cell r="C355" t="str">
            <v>樘数</v>
          </cell>
          <cell r="D355" t="str">
            <v>樘</v>
          </cell>
          <cell r="E355">
            <v>0</v>
          </cell>
          <cell r="F355">
            <v>0</v>
          </cell>
          <cell r="G355">
            <v>0</v>
          </cell>
          <cell r="H355">
            <v>0</v>
          </cell>
          <cell r="I355">
            <v>0.10999999999999999</v>
          </cell>
          <cell r="J355">
            <v>0</v>
          </cell>
          <cell r="K355">
            <v>0</v>
          </cell>
          <cell r="L355">
            <v>0</v>
          </cell>
          <cell r="M355">
            <v>0</v>
          </cell>
          <cell r="O355" t="str">
            <v>*</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row>
        <row r="356">
          <cell r="B356" t="str">
            <v>115高层洋房</v>
          </cell>
          <cell r="C356" t="str">
            <v>樘数</v>
          </cell>
          <cell r="D356" t="str">
            <v>樘</v>
          </cell>
          <cell r="E356">
            <v>0</v>
          </cell>
          <cell r="F356">
            <v>0</v>
          </cell>
          <cell r="G356">
            <v>0</v>
          </cell>
          <cell r="H356">
            <v>0</v>
          </cell>
          <cell r="I356">
            <v>0.10999999999999999</v>
          </cell>
          <cell r="J356">
            <v>0</v>
          </cell>
          <cell r="K356">
            <v>0</v>
          </cell>
          <cell r="L356">
            <v>0</v>
          </cell>
          <cell r="M356">
            <v>0</v>
          </cell>
          <cell r="N356" t="str">
            <v>入户环保入户门按照现代家居最新单价约2255元/樘，入户门锁1038元/把，安装费177元/樘，约3470元/樘</v>
          </cell>
          <cell r="O356" t="str">
            <v>*</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row>
        <row r="357">
          <cell r="B357" t="str">
            <v>超高层洋房</v>
          </cell>
          <cell r="C357" t="str">
            <v>樘数</v>
          </cell>
          <cell r="D357" t="str">
            <v>樘</v>
          </cell>
          <cell r="E357">
            <v>0</v>
          </cell>
          <cell r="F357">
            <v>0</v>
          </cell>
          <cell r="G357">
            <v>0</v>
          </cell>
          <cell r="H357">
            <v>0</v>
          </cell>
          <cell r="I357">
            <v>0.10999999999999999</v>
          </cell>
          <cell r="J357">
            <v>0</v>
          </cell>
          <cell r="K357">
            <v>0</v>
          </cell>
          <cell r="L357">
            <v>0</v>
          </cell>
          <cell r="M357">
            <v>0</v>
          </cell>
          <cell r="O357" t="str">
            <v>*</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row>
        <row r="358">
          <cell r="B358" t="str">
            <v>公寓</v>
          </cell>
          <cell r="C358" t="str">
            <v>樘数</v>
          </cell>
          <cell r="D358" t="str">
            <v>樘</v>
          </cell>
          <cell r="E358">
            <v>0</v>
          </cell>
          <cell r="F358">
            <v>0</v>
          </cell>
          <cell r="G358">
            <v>0</v>
          </cell>
          <cell r="H358">
            <v>0</v>
          </cell>
          <cell r="I358">
            <v>0.10999999999999999</v>
          </cell>
          <cell r="J358">
            <v>0</v>
          </cell>
          <cell r="K358">
            <v>0</v>
          </cell>
          <cell r="L358">
            <v>0</v>
          </cell>
          <cell r="M358">
            <v>0</v>
          </cell>
          <cell r="O358" t="str">
            <v>*</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row>
        <row r="359">
          <cell r="B359" t="str">
            <v>底商</v>
          </cell>
          <cell r="C359" t="str">
            <v>樘数</v>
          </cell>
          <cell r="D359" t="str">
            <v>樘</v>
          </cell>
          <cell r="E359">
            <v>0</v>
          </cell>
          <cell r="F359">
            <v>0</v>
          </cell>
          <cell r="G359">
            <v>0</v>
          </cell>
          <cell r="H359">
            <v>0</v>
          </cell>
          <cell r="I359">
            <v>0.10999999999999999</v>
          </cell>
          <cell r="J359">
            <v>0</v>
          </cell>
          <cell r="K359">
            <v>0</v>
          </cell>
          <cell r="L359">
            <v>0</v>
          </cell>
          <cell r="M359">
            <v>0</v>
          </cell>
          <cell r="O359" t="str">
            <v>*</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row>
        <row r="360">
          <cell r="B360" t="str">
            <v>商业街</v>
          </cell>
          <cell r="C360" t="str">
            <v>樘数</v>
          </cell>
          <cell r="D360" t="str">
            <v>樘</v>
          </cell>
          <cell r="E360">
            <v>0</v>
          </cell>
          <cell r="F360">
            <v>0</v>
          </cell>
          <cell r="G360">
            <v>0</v>
          </cell>
          <cell r="H360">
            <v>0</v>
          </cell>
          <cell r="I360">
            <v>0.10999999999999999</v>
          </cell>
          <cell r="J360">
            <v>0</v>
          </cell>
          <cell r="K360">
            <v>0</v>
          </cell>
          <cell r="L360">
            <v>0</v>
          </cell>
          <cell r="M360">
            <v>0</v>
          </cell>
          <cell r="O360" t="str">
            <v>*</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row>
        <row r="361">
          <cell r="B361" t="str">
            <v>综合楼</v>
          </cell>
          <cell r="C361" t="str">
            <v>樘数</v>
          </cell>
          <cell r="D361" t="str">
            <v>樘</v>
          </cell>
          <cell r="E361">
            <v>0</v>
          </cell>
          <cell r="F361">
            <v>0</v>
          </cell>
          <cell r="G361">
            <v>0</v>
          </cell>
          <cell r="H361">
            <v>0</v>
          </cell>
          <cell r="I361">
            <v>0.10999999999999999</v>
          </cell>
          <cell r="J361">
            <v>0</v>
          </cell>
          <cell r="K361">
            <v>0</v>
          </cell>
          <cell r="L361">
            <v>0</v>
          </cell>
          <cell r="M361">
            <v>0</v>
          </cell>
          <cell r="O361" t="str">
            <v>*</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row>
        <row r="362">
          <cell r="B362" t="str">
            <v>写字楼</v>
          </cell>
          <cell r="C362" t="str">
            <v>樘数</v>
          </cell>
          <cell r="D362" t="str">
            <v>樘</v>
          </cell>
          <cell r="E362">
            <v>0</v>
          </cell>
          <cell r="F362">
            <v>0</v>
          </cell>
          <cell r="G362">
            <v>0</v>
          </cell>
          <cell r="H362">
            <v>0</v>
          </cell>
          <cell r="I362">
            <v>0.10999999999999999</v>
          </cell>
          <cell r="J362">
            <v>0</v>
          </cell>
          <cell r="K362">
            <v>0</v>
          </cell>
          <cell r="L362">
            <v>0</v>
          </cell>
          <cell r="M362">
            <v>0</v>
          </cell>
          <cell r="O362" t="str">
            <v>*</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row>
        <row r="363">
          <cell r="B363" t="str">
            <v>酒店</v>
          </cell>
          <cell r="C363" t="str">
            <v>樘数</v>
          </cell>
          <cell r="D363" t="str">
            <v>樘</v>
          </cell>
          <cell r="E363">
            <v>0</v>
          </cell>
          <cell r="F363">
            <v>0</v>
          </cell>
          <cell r="G363">
            <v>0</v>
          </cell>
          <cell r="H363">
            <v>0</v>
          </cell>
          <cell r="I363">
            <v>0.10999999999999999</v>
          </cell>
          <cell r="J363">
            <v>0</v>
          </cell>
          <cell r="K363">
            <v>0</v>
          </cell>
          <cell r="L363">
            <v>0</v>
          </cell>
          <cell r="M363">
            <v>0</v>
          </cell>
          <cell r="O363" t="str">
            <v>*</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row>
        <row r="364">
          <cell r="B364" t="str">
            <v>医院（自持）</v>
          </cell>
          <cell r="C364" t="str">
            <v>樘数</v>
          </cell>
          <cell r="D364" t="str">
            <v>樘</v>
          </cell>
          <cell r="E364">
            <v>0</v>
          </cell>
          <cell r="F364">
            <v>0</v>
          </cell>
          <cell r="G364">
            <v>0</v>
          </cell>
          <cell r="H364">
            <v>0</v>
          </cell>
          <cell r="I364">
            <v>0.10999999999999999</v>
          </cell>
          <cell r="J364">
            <v>0</v>
          </cell>
          <cell r="K364">
            <v>0</v>
          </cell>
          <cell r="L364">
            <v>0</v>
          </cell>
          <cell r="M364">
            <v>0</v>
          </cell>
          <cell r="O364" t="str">
            <v>*</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row>
        <row r="365">
          <cell r="B365" t="str">
            <v>地上计容车库</v>
          </cell>
          <cell r="C365" t="str">
            <v>樘数</v>
          </cell>
          <cell r="D365" t="str">
            <v>樘</v>
          </cell>
          <cell r="E365">
            <v>0</v>
          </cell>
          <cell r="F365">
            <v>0</v>
          </cell>
          <cell r="G365">
            <v>0</v>
          </cell>
          <cell r="H365">
            <v>0</v>
          </cell>
          <cell r="I365">
            <v>0.10999999999999999</v>
          </cell>
          <cell r="J365">
            <v>0</v>
          </cell>
          <cell r="K365">
            <v>0</v>
          </cell>
          <cell r="L365">
            <v>0</v>
          </cell>
          <cell r="M365">
            <v>0</v>
          </cell>
          <cell r="O365" t="str">
            <v>*</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row>
        <row r="366">
          <cell r="B366" t="str">
            <v>非人防地下室</v>
          </cell>
          <cell r="C366" t="str">
            <v>樘数</v>
          </cell>
          <cell r="D366" t="str">
            <v>樘</v>
          </cell>
          <cell r="E366">
            <v>0</v>
          </cell>
          <cell r="F366">
            <v>0</v>
          </cell>
          <cell r="G366">
            <v>0</v>
          </cell>
          <cell r="H366">
            <v>0</v>
          </cell>
          <cell r="I366">
            <v>0.10999999999999999</v>
          </cell>
          <cell r="J366">
            <v>0</v>
          </cell>
          <cell r="K366">
            <v>0</v>
          </cell>
          <cell r="L366">
            <v>0</v>
          </cell>
          <cell r="M366">
            <v>0</v>
          </cell>
          <cell r="O366" t="str">
            <v>*</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row>
        <row r="367">
          <cell r="B367" t="str">
            <v>人防地下室</v>
          </cell>
          <cell r="C367" t="str">
            <v>樘数</v>
          </cell>
          <cell r="D367" t="str">
            <v>樘</v>
          </cell>
          <cell r="E367">
            <v>0</v>
          </cell>
          <cell r="F367">
            <v>0</v>
          </cell>
          <cell r="G367">
            <v>0</v>
          </cell>
          <cell r="H367">
            <v>0</v>
          </cell>
          <cell r="I367">
            <v>0.10999999999999999</v>
          </cell>
          <cell r="J367">
            <v>0</v>
          </cell>
          <cell r="K367">
            <v>0</v>
          </cell>
          <cell r="L367">
            <v>0</v>
          </cell>
          <cell r="M367">
            <v>0</v>
          </cell>
          <cell r="O367" t="str">
            <v>*</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row>
        <row r="368">
          <cell r="B368" t="str">
            <v>独立会所（综合楼）</v>
          </cell>
          <cell r="C368" t="str">
            <v>樘数</v>
          </cell>
          <cell r="D368" t="str">
            <v>樘</v>
          </cell>
          <cell r="E368">
            <v>0</v>
          </cell>
          <cell r="F368">
            <v>0</v>
          </cell>
          <cell r="G368">
            <v>0</v>
          </cell>
          <cell r="H368">
            <v>0</v>
          </cell>
          <cell r="I368">
            <v>0.10999999999999999</v>
          </cell>
          <cell r="J368">
            <v>0</v>
          </cell>
          <cell r="K368">
            <v>0</v>
          </cell>
          <cell r="L368">
            <v>0</v>
          </cell>
          <cell r="M368">
            <v>0</v>
          </cell>
          <cell r="O368" t="str">
            <v>*</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row>
        <row r="369">
          <cell r="B369" t="str">
            <v>活动中心</v>
          </cell>
          <cell r="C369" t="str">
            <v>樘数</v>
          </cell>
          <cell r="D369" t="str">
            <v>樘</v>
          </cell>
          <cell r="E369">
            <v>0</v>
          </cell>
          <cell r="F369">
            <v>0</v>
          </cell>
          <cell r="G369">
            <v>0</v>
          </cell>
          <cell r="H369">
            <v>0</v>
          </cell>
          <cell r="I369">
            <v>0.10999999999999999</v>
          </cell>
          <cell r="J369">
            <v>0</v>
          </cell>
          <cell r="K369">
            <v>0</v>
          </cell>
          <cell r="L369">
            <v>0</v>
          </cell>
          <cell r="M369">
            <v>0</v>
          </cell>
          <cell r="O369" t="str">
            <v>*</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row>
        <row r="370">
          <cell r="B370" t="str">
            <v>商贸市场</v>
          </cell>
          <cell r="C370" t="str">
            <v>樘数</v>
          </cell>
          <cell r="D370" t="str">
            <v>樘</v>
          </cell>
          <cell r="E370">
            <v>0</v>
          </cell>
          <cell r="F370">
            <v>0</v>
          </cell>
          <cell r="G370">
            <v>0</v>
          </cell>
          <cell r="H370">
            <v>0</v>
          </cell>
          <cell r="I370">
            <v>0.10999999999999999</v>
          </cell>
          <cell r="J370">
            <v>0</v>
          </cell>
          <cell r="K370">
            <v>0</v>
          </cell>
          <cell r="L370">
            <v>0</v>
          </cell>
          <cell r="M370">
            <v>0</v>
          </cell>
          <cell r="O370" t="str">
            <v>*</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row>
        <row r="371">
          <cell r="B371" t="str">
            <v>医院</v>
          </cell>
          <cell r="C371" t="str">
            <v>樘数</v>
          </cell>
          <cell r="D371" t="str">
            <v>樘</v>
          </cell>
          <cell r="E371">
            <v>0</v>
          </cell>
          <cell r="F371">
            <v>0</v>
          </cell>
          <cell r="G371">
            <v>0</v>
          </cell>
          <cell r="H371">
            <v>0</v>
          </cell>
          <cell r="I371">
            <v>0.10999999999999999</v>
          </cell>
          <cell r="J371">
            <v>0</v>
          </cell>
          <cell r="K371">
            <v>0</v>
          </cell>
          <cell r="L371">
            <v>0</v>
          </cell>
          <cell r="M371">
            <v>0</v>
          </cell>
          <cell r="O371" t="str">
            <v>*</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row>
        <row r="372">
          <cell r="B372" t="str">
            <v>幼儿园</v>
          </cell>
          <cell r="C372" t="str">
            <v>樘数</v>
          </cell>
          <cell r="D372" t="str">
            <v>樘</v>
          </cell>
          <cell r="E372">
            <v>0</v>
          </cell>
          <cell r="F372">
            <v>0</v>
          </cell>
          <cell r="G372">
            <v>0</v>
          </cell>
          <cell r="H372">
            <v>0</v>
          </cell>
          <cell r="I372">
            <v>0.10999999999999999</v>
          </cell>
          <cell r="J372">
            <v>0</v>
          </cell>
          <cell r="K372">
            <v>0</v>
          </cell>
          <cell r="L372">
            <v>0</v>
          </cell>
          <cell r="M372">
            <v>0</v>
          </cell>
          <cell r="O372" t="str">
            <v>*</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row>
        <row r="373">
          <cell r="B373" t="str">
            <v>学校</v>
          </cell>
          <cell r="C373" t="str">
            <v>樘数</v>
          </cell>
          <cell r="D373" t="str">
            <v>樘</v>
          </cell>
          <cell r="E373">
            <v>0</v>
          </cell>
          <cell r="F373">
            <v>0</v>
          </cell>
          <cell r="G373">
            <v>0</v>
          </cell>
          <cell r="H373">
            <v>0</v>
          </cell>
          <cell r="I373">
            <v>0.10999999999999999</v>
          </cell>
          <cell r="J373">
            <v>0</v>
          </cell>
          <cell r="K373">
            <v>0</v>
          </cell>
          <cell r="L373">
            <v>0</v>
          </cell>
          <cell r="M373">
            <v>0</v>
          </cell>
          <cell r="O373" t="str">
            <v>*</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row>
        <row r="374">
          <cell r="B374" t="str">
            <v>员工宿舍</v>
          </cell>
          <cell r="C374" t="str">
            <v>樘数</v>
          </cell>
          <cell r="D374" t="str">
            <v>樘</v>
          </cell>
          <cell r="E374">
            <v>0</v>
          </cell>
          <cell r="F374">
            <v>0</v>
          </cell>
          <cell r="G374">
            <v>0</v>
          </cell>
          <cell r="H374">
            <v>0</v>
          </cell>
          <cell r="I374">
            <v>0.10999999999999999</v>
          </cell>
          <cell r="J374">
            <v>0</v>
          </cell>
          <cell r="K374">
            <v>0</v>
          </cell>
          <cell r="L374">
            <v>0</v>
          </cell>
          <cell r="M374">
            <v>0</v>
          </cell>
          <cell r="O374" t="str">
            <v>*</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row>
        <row r="375">
          <cell r="B375" t="str">
            <v>外立面门窗</v>
          </cell>
          <cell r="C375" t="str">
            <v>门窗测算面积</v>
          </cell>
          <cell r="D375" t="str">
            <v>m2</v>
          </cell>
          <cell r="E375">
            <v>40123.801316000005</v>
          </cell>
          <cell r="F375">
            <v>499.99999999999994</v>
          </cell>
          <cell r="G375">
            <v>20061900.658</v>
          </cell>
          <cell r="I375">
            <v>0.11</v>
          </cell>
          <cell r="J375">
            <v>450.45045045045038</v>
          </cell>
          <cell r="K375">
            <v>49.549549549549567</v>
          </cell>
          <cell r="L375">
            <v>18073784.376576576</v>
          </cell>
          <cell r="M375">
            <v>1988116.2814234234</v>
          </cell>
          <cell r="P375">
            <v>0</v>
          </cell>
          <cell r="Q375">
            <v>3483918.9189189188</v>
          </cell>
          <cell r="R375">
            <v>305414.41441441444</v>
          </cell>
          <cell r="S375">
            <v>11430464.556756757</v>
          </cell>
          <cell r="T375">
            <v>2638310.8108108114</v>
          </cell>
          <cell r="U375">
            <v>0</v>
          </cell>
          <cell r="V375">
            <v>0</v>
          </cell>
          <cell r="W375">
            <v>0</v>
          </cell>
          <cell r="X375">
            <v>0</v>
          </cell>
          <cell r="Y375">
            <v>0</v>
          </cell>
          <cell r="Z375">
            <v>0</v>
          </cell>
          <cell r="AA375">
            <v>0</v>
          </cell>
          <cell r="AB375">
            <v>215675.67567567574</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18073784.376576576</v>
          </cell>
          <cell r="AS375">
            <v>0</v>
          </cell>
        </row>
        <row r="376">
          <cell r="B376">
            <v>100</v>
          </cell>
          <cell r="C376" t="str">
            <v>门窗测算面积</v>
          </cell>
          <cell r="D376" t="str">
            <v>m2</v>
          </cell>
          <cell r="E376">
            <v>0</v>
          </cell>
          <cell r="F376">
            <v>0</v>
          </cell>
          <cell r="G376">
            <v>0</v>
          </cell>
          <cell r="H376">
            <v>0</v>
          </cell>
          <cell r="I376">
            <v>0.10999999999999999</v>
          </cell>
          <cell r="J376">
            <v>0</v>
          </cell>
          <cell r="K376">
            <v>0</v>
          </cell>
          <cell r="L376">
            <v>0</v>
          </cell>
          <cell r="M376">
            <v>0</v>
          </cell>
          <cell r="N376" t="str">
            <v>根据图纸测算数据，双拼别墅窗地比系数按0.29，参照已签丽山花园已签合同平均价，并考虑部分上浮,单价按450元/m2考虑</v>
          </cell>
          <cell r="O376" t="str">
            <v>*</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row>
        <row r="377">
          <cell r="B377">
            <v>125</v>
          </cell>
          <cell r="C377" t="str">
            <v>门窗测算面积</v>
          </cell>
          <cell r="D377" t="str">
            <v>m2</v>
          </cell>
          <cell r="E377">
            <v>7734.2999999999993</v>
          </cell>
          <cell r="F377">
            <v>500</v>
          </cell>
          <cell r="G377">
            <v>3867149.9999999995</v>
          </cell>
          <cell r="H377">
            <v>0</v>
          </cell>
          <cell r="I377">
            <v>0.10999999999999999</v>
          </cell>
          <cell r="J377">
            <v>450.45045045045049</v>
          </cell>
          <cell r="K377">
            <v>49.549549549549511</v>
          </cell>
          <cell r="L377">
            <v>3483918.9189189188</v>
          </cell>
          <cell r="M377">
            <v>383231.08108108072</v>
          </cell>
          <cell r="O377" t="str">
            <v>*</v>
          </cell>
          <cell r="P377">
            <v>0</v>
          </cell>
          <cell r="Q377">
            <v>3483918.9189189188</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3483918.9189189188</v>
          </cell>
          <cell r="AS377">
            <v>0</v>
          </cell>
        </row>
        <row r="378">
          <cell r="B378">
            <v>150</v>
          </cell>
          <cell r="C378" t="str">
            <v>门窗测算面积</v>
          </cell>
          <cell r="D378" t="str">
            <v>m2</v>
          </cell>
          <cell r="E378">
            <v>678.02</v>
          </cell>
          <cell r="F378">
            <v>500</v>
          </cell>
          <cell r="G378">
            <v>339010</v>
          </cell>
          <cell r="H378">
            <v>0</v>
          </cell>
          <cell r="I378">
            <v>0.10999999999999999</v>
          </cell>
          <cell r="J378">
            <v>450.45045045045049</v>
          </cell>
          <cell r="K378">
            <v>49.549549549549511</v>
          </cell>
          <cell r="L378">
            <v>305414.41441441444</v>
          </cell>
          <cell r="M378">
            <v>33595.585585585563</v>
          </cell>
          <cell r="N378" t="str">
            <v>根据图纸测算数据，双拼别墅窗地比系数按0.29，参照已签丽山花园已签合同平均价，并考虑部分上浮,单价按450元/m2考虑</v>
          </cell>
          <cell r="O378" t="str">
            <v>*</v>
          </cell>
          <cell r="P378">
            <v>0</v>
          </cell>
          <cell r="Q378">
            <v>0</v>
          </cell>
          <cell r="R378">
            <v>305414.41441441444</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305414.41441441444</v>
          </cell>
          <cell r="AS378">
            <v>0</v>
          </cell>
        </row>
        <row r="379">
          <cell r="B379" t="str">
            <v>1T4(30F)</v>
          </cell>
          <cell r="C379" t="str">
            <v>门窗测算面积</v>
          </cell>
          <cell r="D379" t="str">
            <v>m2</v>
          </cell>
          <cell r="E379">
            <v>25375.631315999999</v>
          </cell>
          <cell r="F379">
            <v>500</v>
          </cell>
          <cell r="G379">
            <v>12687815.658</v>
          </cell>
          <cell r="H379">
            <v>0</v>
          </cell>
          <cell r="I379">
            <v>0.10999999999999999</v>
          </cell>
          <cell r="J379">
            <v>450.45045045045049</v>
          </cell>
          <cell r="K379">
            <v>49.549549549549511</v>
          </cell>
          <cell r="L379">
            <v>11430464.556756757</v>
          </cell>
          <cell r="M379">
            <v>1257351.1012432426</v>
          </cell>
          <cell r="O379" t="str">
            <v>*</v>
          </cell>
          <cell r="P379">
            <v>0</v>
          </cell>
          <cell r="Q379">
            <v>0</v>
          </cell>
          <cell r="R379">
            <v>0</v>
          </cell>
          <cell r="S379">
            <v>11430464.556756757</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11430464.556756757</v>
          </cell>
          <cell r="AS379">
            <v>0</v>
          </cell>
        </row>
        <row r="380">
          <cell r="B380" t="str">
            <v>1T3(30F)</v>
          </cell>
          <cell r="C380" t="str">
            <v>门窗测算面积</v>
          </cell>
          <cell r="D380" t="str">
            <v>m2</v>
          </cell>
          <cell r="E380">
            <v>5857.05</v>
          </cell>
          <cell r="F380">
            <v>500</v>
          </cell>
          <cell r="G380">
            <v>2928525</v>
          </cell>
          <cell r="H380">
            <v>0</v>
          </cell>
          <cell r="I380">
            <v>0.10999999999999999</v>
          </cell>
          <cell r="J380">
            <v>450.45045045045049</v>
          </cell>
          <cell r="K380">
            <v>49.549549549549511</v>
          </cell>
          <cell r="L380">
            <v>2638310.8108108114</v>
          </cell>
          <cell r="M380">
            <v>290214.18918918865</v>
          </cell>
          <cell r="N380" t="str">
            <v>根据图纸测算数据，双拼别墅窗地比系数按0.29，参照已签丽山花园已签合同平均价，并考虑部分上浮,单价按450元/m2考虑</v>
          </cell>
          <cell r="O380" t="str">
            <v>*</v>
          </cell>
          <cell r="P380">
            <v>0</v>
          </cell>
          <cell r="Q380">
            <v>0</v>
          </cell>
          <cell r="R380">
            <v>0</v>
          </cell>
          <cell r="S380">
            <v>0</v>
          </cell>
          <cell r="T380">
            <v>2638310.8108108114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2638310.8108108114</v>
          </cell>
          <cell r="AS380">
            <v>0</v>
          </cell>
        </row>
        <row r="381">
          <cell r="B381" t="str">
            <v>LOFT(31F)</v>
          </cell>
          <cell r="C381" t="str">
            <v>门窗测算面积</v>
          </cell>
          <cell r="D381" t="str">
            <v>m2</v>
          </cell>
          <cell r="E381">
            <v>0</v>
          </cell>
          <cell r="F381">
            <v>0</v>
          </cell>
          <cell r="G381">
            <v>0</v>
          </cell>
          <cell r="H381">
            <v>0</v>
          </cell>
          <cell r="I381">
            <v>0.10999999999999999</v>
          </cell>
          <cell r="J381">
            <v>0</v>
          </cell>
          <cell r="K381">
            <v>0</v>
          </cell>
          <cell r="L381">
            <v>0</v>
          </cell>
          <cell r="M381">
            <v>0</v>
          </cell>
          <cell r="O381" t="str">
            <v>*</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row>
        <row r="382">
          <cell r="B382" t="str">
            <v>1T2(31F)</v>
          </cell>
          <cell r="C382" t="str">
            <v>门窗测算面积</v>
          </cell>
          <cell r="D382" t="str">
            <v>m2</v>
          </cell>
          <cell r="E382">
            <v>0</v>
          </cell>
          <cell r="F382">
            <v>0</v>
          </cell>
          <cell r="G382">
            <v>0</v>
          </cell>
          <cell r="H382">
            <v>0</v>
          </cell>
          <cell r="I382">
            <v>0.10999999999999999</v>
          </cell>
          <cell r="J382">
            <v>0</v>
          </cell>
          <cell r="K382">
            <v>0</v>
          </cell>
          <cell r="L382">
            <v>0</v>
          </cell>
          <cell r="M382">
            <v>0</v>
          </cell>
          <cell r="O382" t="str">
            <v>*</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row>
        <row r="383">
          <cell r="B383" t="str">
            <v>1T8(32F)</v>
          </cell>
          <cell r="C383" t="str">
            <v>门窗测算面积</v>
          </cell>
          <cell r="D383" t="str">
            <v>m2</v>
          </cell>
          <cell r="E383">
            <v>0</v>
          </cell>
          <cell r="F383">
            <v>0</v>
          </cell>
          <cell r="G383">
            <v>0</v>
          </cell>
          <cell r="H383">
            <v>0</v>
          </cell>
          <cell r="I383">
            <v>0.10999999999999999</v>
          </cell>
          <cell r="J383">
            <v>0</v>
          </cell>
          <cell r="K383">
            <v>0</v>
          </cell>
          <cell r="L383">
            <v>0</v>
          </cell>
          <cell r="M383">
            <v>0</v>
          </cell>
          <cell r="O383" t="str">
            <v>*</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row>
        <row r="384">
          <cell r="B384" t="str">
            <v>中高层洋房</v>
          </cell>
          <cell r="C384" t="str">
            <v>门窗测算面积</v>
          </cell>
          <cell r="D384" t="str">
            <v>m2</v>
          </cell>
          <cell r="E384">
            <v>0</v>
          </cell>
          <cell r="F384">
            <v>0</v>
          </cell>
          <cell r="G384">
            <v>0</v>
          </cell>
          <cell r="H384">
            <v>0</v>
          </cell>
          <cell r="I384">
            <v>0.10999999999999999</v>
          </cell>
          <cell r="J384">
            <v>0</v>
          </cell>
          <cell r="K384">
            <v>0</v>
          </cell>
          <cell r="L384">
            <v>0</v>
          </cell>
          <cell r="M384">
            <v>0</v>
          </cell>
          <cell r="O384" t="str">
            <v>*</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row>
        <row r="385">
          <cell r="B385" t="str">
            <v>115高层洋房</v>
          </cell>
          <cell r="C385" t="str">
            <v>门窗测算面积</v>
          </cell>
          <cell r="D385" t="str">
            <v>m2</v>
          </cell>
          <cell r="E385">
            <v>0</v>
          </cell>
          <cell r="F385">
            <v>0</v>
          </cell>
          <cell r="G385">
            <v>0</v>
          </cell>
          <cell r="H385">
            <v>0</v>
          </cell>
          <cell r="I385">
            <v>0.10999999999999999</v>
          </cell>
          <cell r="J385">
            <v>0</v>
          </cell>
          <cell r="K385">
            <v>0</v>
          </cell>
          <cell r="L385">
            <v>0</v>
          </cell>
          <cell r="M385">
            <v>0</v>
          </cell>
          <cell r="N385" t="str">
            <v>根据图纸测算数据，双拼别墅窗地比系数按0.23，参照已签丽山花园已签合同平均价，并考虑部分上浮,单价按437.29元/m2考虑</v>
          </cell>
          <cell r="O385" t="str">
            <v>*</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row>
        <row r="386">
          <cell r="B386" t="str">
            <v>超高层洋房</v>
          </cell>
          <cell r="C386" t="str">
            <v>门窗测算面积</v>
          </cell>
          <cell r="D386" t="str">
            <v>m2</v>
          </cell>
          <cell r="E386">
            <v>0</v>
          </cell>
          <cell r="F386">
            <v>0</v>
          </cell>
          <cell r="G386">
            <v>0</v>
          </cell>
          <cell r="H386">
            <v>0</v>
          </cell>
          <cell r="I386">
            <v>0.10999999999999999</v>
          </cell>
          <cell r="J386">
            <v>0</v>
          </cell>
          <cell r="K386">
            <v>0</v>
          </cell>
          <cell r="L386">
            <v>0</v>
          </cell>
          <cell r="M386">
            <v>0</v>
          </cell>
          <cell r="O386" t="str">
            <v>*</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row>
        <row r="387">
          <cell r="B387" t="str">
            <v>公寓</v>
          </cell>
          <cell r="C387" t="str">
            <v>门窗测算面积</v>
          </cell>
          <cell r="D387" t="str">
            <v>m2</v>
          </cell>
          <cell r="E387">
            <v>0</v>
          </cell>
          <cell r="F387">
            <v>0</v>
          </cell>
          <cell r="G387">
            <v>0</v>
          </cell>
          <cell r="H387">
            <v>0</v>
          </cell>
          <cell r="I387">
            <v>0.10999999999999999</v>
          </cell>
          <cell r="J387">
            <v>0</v>
          </cell>
          <cell r="K387">
            <v>0</v>
          </cell>
          <cell r="L387">
            <v>0</v>
          </cell>
          <cell r="M387">
            <v>0</v>
          </cell>
          <cell r="O387" t="str">
            <v>*</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row>
        <row r="388">
          <cell r="B388" t="str">
            <v>底商</v>
          </cell>
          <cell r="C388" t="str">
            <v>门窗测算面积</v>
          </cell>
          <cell r="D388" t="str">
            <v>m2</v>
          </cell>
          <cell r="E388">
            <v>478.80000000000007</v>
          </cell>
          <cell r="F388">
            <v>500</v>
          </cell>
          <cell r="G388">
            <v>239400.00000000003</v>
          </cell>
          <cell r="H388">
            <v>0</v>
          </cell>
          <cell r="I388">
            <v>0.10999999999999999</v>
          </cell>
          <cell r="J388">
            <v>450.45045045045049</v>
          </cell>
          <cell r="K388">
            <v>49.549549549549511</v>
          </cell>
          <cell r="L388">
            <v>215675.67567567574</v>
          </cell>
          <cell r="M388">
            <v>23724.324324324291</v>
          </cell>
          <cell r="O388" t="str">
            <v>*</v>
          </cell>
          <cell r="P388">
            <v>0</v>
          </cell>
          <cell r="Q388">
            <v>0</v>
          </cell>
          <cell r="R388">
            <v>0</v>
          </cell>
          <cell r="S388">
            <v>0</v>
          </cell>
          <cell r="T388">
            <v>0</v>
          </cell>
          <cell r="U388">
            <v>0</v>
          </cell>
          <cell r="V388">
            <v>0</v>
          </cell>
          <cell r="W388">
            <v>0</v>
          </cell>
          <cell r="X388">
            <v>0</v>
          </cell>
          <cell r="Y388">
            <v>0</v>
          </cell>
          <cell r="Z388">
            <v>0</v>
          </cell>
          <cell r="AA388">
            <v>0</v>
          </cell>
          <cell r="AB388">
            <v>215675.67567567574</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215675.67567567574</v>
          </cell>
          <cell r="AS388">
            <v>0</v>
          </cell>
        </row>
        <row r="389">
          <cell r="B389" t="str">
            <v>商业街</v>
          </cell>
          <cell r="C389" t="str">
            <v>门窗测算面积</v>
          </cell>
          <cell r="D389" t="str">
            <v>m2</v>
          </cell>
          <cell r="E389">
            <v>0</v>
          </cell>
          <cell r="F389">
            <v>0</v>
          </cell>
          <cell r="G389">
            <v>0</v>
          </cell>
          <cell r="H389">
            <v>0</v>
          </cell>
          <cell r="I389">
            <v>0.10999999999999999</v>
          </cell>
          <cell r="J389">
            <v>0</v>
          </cell>
          <cell r="K389">
            <v>0</v>
          </cell>
          <cell r="L389">
            <v>0</v>
          </cell>
          <cell r="M389">
            <v>0</v>
          </cell>
          <cell r="O389" t="str">
            <v>*</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row>
        <row r="390">
          <cell r="B390" t="str">
            <v>综合楼</v>
          </cell>
          <cell r="C390" t="str">
            <v>门窗测算面积</v>
          </cell>
          <cell r="D390" t="str">
            <v>m2</v>
          </cell>
          <cell r="E390">
            <v>0</v>
          </cell>
          <cell r="F390">
            <v>0</v>
          </cell>
          <cell r="G390">
            <v>0</v>
          </cell>
          <cell r="H390">
            <v>0</v>
          </cell>
          <cell r="I390">
            <v>0.10999999999999999</v>
          </cell>
          <cell r="J390">
            <v>0</v>
          </cell>
          <cell r="K390">
            <v>0</v>
          </cell>
          <cell r="L390">
            <v>0</v>
          </cell>
          <cell r="M390">
            <v>0</v>
          </cell>
          <cell r="O390" t="str">
            <v>*</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row>
        <row r="391">
          <cell r="B391" t="str">
            <v>写字楼</v>
          </cell>
          <cell r="C391" t="str">
            <v>门窗测算面积</v>
          </cell>
          <cell r="D391" t="str">
            <v>m2</v>
          </cell>
          <cell r="E391">
            <v>0</v>
          </cell>
          <cell r="F391">
            <v>0</v>
          </cell>
          <cell r="G391">
            <v>0</v>
          </cell>
          <cell r="H391">
            <v>0</v>
          </cell>
          <cell r="I391">
            <v>0.10999999999999999</v>
          </cell>
          <cell r="J391">
            <v>0</v>
          </cell>
          <cell r="K391">
            <v>0</v>
          </cell>
          <cell r="L391">
            <v>0</v>
          </cell>
          <cell r="M391">
            <v>0</v>
          </cell>
          <cell r="O391" t="str">
            <v>*</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row>
        <row r="392">
          <cell r="B392" t="str">
            <v>酒店</v>
          </cell>
          <cell r="C392" t="str">
            <v>门窗测算面积</v>
          </cell>
          <cell r="D392" t="str">
            <v>m2</v>
          </cell>
          <cell r="E392">
            <v>0</v>
          </cell>
          <cell r="F392">
            <v>0</v>
          </cell>
          <cell r="G392">
            <v>0</v>
          </cell>
          <cell r="H392">
            <v>0</v>
          </cell>
          <cell r="I392">
            <v>0.10999999999999999</v>
          </cell>
          <cell r="J392">
            <v>0</v>
          </cell>
          <cell r="K392">
            <v>0</v>
          </cell>
          <cell r="L392">
            <v>0</v>
          </cell>
          <cell r="M392">
            <v>0</v>
          </cell>
          <cell r="O392" t="str">
            <v>*</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row>
        <row r="393">
          <cell r="B393" t="str">
            <v>医院（自持）</v>
          </cell>
          <cell r="C393" t="str">
            <v>门窗测算面积</v>
          </cell>
          <cell r="D393" t="str">
            <v>m2</v>
          </cell>
          <cell r="E393">
            <v>0</v>
          </cell>
          <cell r="F393">
            <v>0</v>
          </cell>
          <cell r="G393">
            <v>0</v>
          </cell>
          <cell r="H393">
            <v>0</v>
          </cell>
          <cell r="I393">
            <v>0.10999999999999999</v>
          </cell>
          <cell r="J393">
            <v>0</v>
          </cell>
          <cell r="K393">
            <v>0</v>
          </cell>
          <cell r="L393">
            <v>0</v>
          </cell>
          <cell r="M393">
            <v>0</v>
          </cell>
          <cell r="O393" t="str">
            <v>*</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row>
        <row r="394">
          <cell r="B394" t="str">
            <v>地上计容车库</v>
          </cell>
          <cell r="C394" t="str">
            <v>门窗测算面积</v>
          </cell>
          <cell r="D394" t="str">
            <v>m2</v>
          </cell>
          <cell r="E394">
            <v>0</v>
          </cell>
          <cell r="F394">
            <v>0</v>
          </cell>
          <cell r="G394">
            <v>0</v>
          </cell>
          <cell r="H394">
            <v>0</v>
          </cell>
          <cell r="I394">
            <v>0.10999999999999999</v>
          </cell>
          <cell r="J394">
            <v>0</v>
          </cell>
          <cell r="K394">
            <v>0</v>
          </cell>
          <cell r="L394">
            <v>0</v>
          </cell>
          <cell r="M394">
            <v>0</v>
          </cell>
          <cell r="O394" t="str">
            <v>*</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row>
        <row r="395">
          <cell r="B395" t="str">
            <v>非人防地下室</v>
          </cell>
          <cell r="C395" t="str">
            <v>门窗测算面积</v>
          </cell>
          <cell r="D395" t="str">
            <v>m2</v>
          </cell>
          <cell r="E395">
            <v>0</v>
          </cell>
          <cell r="F395">
            <v>0</v>
          </cell>
          <cell r="G395">
            <v>0</v>
          </cell>
          <cell r="H395">
            <v>0</v>
          </cell>
          <cell r="I395">
            <v>0.10999999999999999</v>
          </cell>
          <cell r="J395">
            <v>0</v>
          </cell>
          <cell r="K395">
            <v>0</v>
          </cell>
          <cell r="L395">
            <v>0</v>
          </cell>
          <cell r="M395">
            <v>0</v>
          </cell>
          <cell r="O395" t="str">
            <v>*</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row>
        <row r="396">
          <cell r="B396" t="str">
            <v>人防地下室</v>
          </cell>
          <cell r="C396" t="str">
            <v>门窗测算面积</v>
          </cell>
          <cell r="D396" t="str">
            <v>m2</v>
          </cell>
          <cell r="E396">
            <v>0</v>
          </cell>
          <cell r="F396">
            <v>0</v>
          </cell>
          <cell r="G396">
            <v>0</v>
          </cell>
          <cell r="H396">
            <v>0</v>
          </cell>
          <cell r="I396">
            <v>0.10999999999999999</v>
          </cell>
          <cell r="J396">
            <v>0</v>
          </cell>
          <cell r="K396">
            <v>0</v>
          </cell>
          <cell r="L396">
            <v>0</v>
          </cell>
          <cell r="M396">
            <v>0</v>
          </cell>
          <cell r="O396" t="str">
            <v>*</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row>
        <row r="397">
          <cell r="B397" t="str">
            <v>独立会所（综合楼）</v>
          </cell>
          <cell r="C397" t="str">
            <v>门窗测算面积</v>
          </cell>
          <cell r="D397" t="str">
            <v>m2</v>
          </cell>
          <cell r="E397">
            <v>0</v>
          </cell>
          <cell r="F397">
            <v>0</v>
          </cell>
          <cell r="G397">
            <v>0</v>
          </cell>
          <cell r="H397">
            <v>0</v>
          </cell>
          <cell r="I397">
            <v>0.10999999999999999</v>
          </cell>
          <cell r="J397">
            <v>0</v>
          </cell>
          <cell r="K397">
            <v>0</v>
          </cell>
          <cell r="L397">
            <v>0</v>
          </cell>
          <cell r="M397">
            <v>0</v>
          </cell>
          <cell r="O397" t="str">
            <v>*</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row>
        <row r="398">
          <cell r="B398" t="str">
            <v>活动中心</v>
          </cell>
          <cell r="C398" t="str">
            <v>门窗测算面积</v>
          </cell>
          <cell r="D398" t="str">
            <v>m2</v>
          </cell>
          <cell r="E398">
            <v>0</v>
          </cell>
          <cell r="F398">
            <v>0</v>
          </cell>
          <cell r="G398">
            <v>0</v>
          </cell>
          <cell r="H398">
            <v>0</v>
          </cell>
          <cell r="I398">
            <v>0.10999999999999999</v>
          </cell>
          <cell r="J398">
            <v>0</v>
          </cell>
          <cell r="K398">
            <v>0</v>
          </cell>
          <cell r="L398">
            <v>0</v>
          </cell>
          <cell r="M398">
            <v>0</v>
          </cell>
          <cell r="O398" t="str">
            <v>*</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row>
        <row r="399">
          <cell r="B399" t="str">
            <v>商贸市场</v>
          </cell>
          <cell r="C399" t="str">
            <v>门窗测算面积</v>
          </cell>
          <cell r="D399" t="str">
            <v>m2</v>
          </cell>
          <cell r="E399">
            <v>0</v>
          </cell>
          <cell r="F399">
            <v>0</v>
          </cell>
          <cell r="G399">
            <v>0</v>
          </cell>
          <cell r="H399">
            <v>0</v>
          </cell>
          <cell r="I399">
            <v>0.10999999999999999</v>
          </cell>
          <cell r="J399">
            <v>0</v>
          </cell>
          <cell r="K399">
            <v>0</v>
          </cell>
          <cell r="L399">
            <v>0</v>
          </cell>
          <cell r="M399">
            <v>0</v>
          </cell>
          <cell r="O399" t="str">
            <v>*</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row>
        <row r="400">
          <cell r="B400" t="str">
            <v>医院</v>
          </cell>
          <cell r="C400" t="str">
            <v>门窗测算面积</v>
          </cell>
          <cell r="D400" t="str">
            <v>m2</v>
          </cell>
          <cell r="E400">
            <v>0</v>
          </cell>
          <cell r="F400">
            <v>0</v>
          </cell>
          <cell r="G400">
            <v>0</v>
          </cell>
          <cell r="H400">
            <v>0</v>
          </cell>
          <cell r="I400">
            <v>0.10999999999999999</v>
          </cell>
          <cell r="J400">
            <v>0</v>
          </cell>
          <cell r="K400">
            <v>0</v>
          </cell>
          <cell r="L400">
            <v>0</v>
          </cell>
          <cell r="M400">
            <v>0</v>
          </cell>
          <cell r="O400" t="str">
            <v>*</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row>
        <row r="401">
          <cell r="B401" t="str">
            <v>幼儿园</v>
          </cell>
          <cell r="C401" t="str">
            <v>门窗测算面积</v>
          </cell>
          <cell r="D401" t="str">
            <v>m2</v>
          </cell>
          <cell r="E401">
            <v>0</v>
          </cell>
          <cell r="F401">
            <v>0</v>
          </cell>
          <cell r="G401">
            <v>0</v>
          </cell>
          <cell r="H401">
            <v>0</v>
          </cell>
          <cell r="I401">
            <v>0.10999999999999999</v>
          </cell>
          <cell r="J401">
            <v>0</v>
          </cell>
          <cell r="K401">
            <v>0</v>
          </cell>
          <cell r="L401">
            <v>0</v>
          </cell>
          <cell r="M401">
            <v>0</v>
          </cell>
          <cell r="O401" t="str">
            <v>*</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row>
        <row r="402">
          <cell r="B402" t="str">
            <v>学校</v>
          </cell>
          <cell r="C402" t="str">
            <v>门窗测算面积</v>
          </cell>
          <cell r="D402" t="str">
            <v>m2</v>
          </cell>
          <cell r="E402">
            <v>0</v>
          </cell>
          <cell r="F402">
            <v>0</v>
          </cell>
          <cell r="G402">
            <v>0</v>
          </cell>
          <cell r="H402">
            <v>0</v>
          </cell>
          <cell r="I402">
            <v>0.10999999999999999</v>
          </cell>
          <cell r="J402">
            <v>0</v>
          </cell>
          <cell r="K402">
            <v>0</v>
          </cell>
          <cell r="L402">
            <v>0</v>
          </cell>
          <cell r="M402">
            <v>0</v>
          </cell>
          <cell r="O402" t="str">
            <v>*</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row>
        <row r="403">
          <cell r="B403" t="str">
            <v>员工宿舍</v>
          </cell>
          <cell r="C403" t="str">
            <v>门窗测算面积</v>
          </cell>
          <cell r="D403" t="str">
            <v>m2</v>
          </cell>
          <cell r="E403">
            <v>0</v>
          </cell>
          <cell r="F403">
            <v>0</v>
          </cell>
          <cell r="G403">
            <v>0</v>
          </cell>
          <cell r="H403">
            <v>0</v>
          </cell>
          <cell r="I403">
            <v>0.10999999999999999</v>
          </cell>
          <cell r="J403">
            <v>0</v>
          </cell>
          <cell r="K403">
            <v>0</v>
          </cell>
          <cell r="L403">
            <v>0</v>
          </cell>
          <cell r="M403">
            <v>0</v>
          </cell>
          <cell r="O403" t="str">
            <v>*</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row>
        <row r="404">
          <cell r="B404" t="str">
            <v>防火门及防火卷帘</v>
          </cell>
          <cell r="C404" t="str">
            <v>防火门及卷帘测算面积</v>
          </cell>
          <cell r="D404" t="str">
            <v>m2</v>
          </cell>
          <cell r="F404">
            <v>0</v>
          </cell>
          <cell r="I404">
            <v>0</v>
          </cell>
          <cell r="J404">
            <v>0</v>
          </cell>
          <cell r="K404">
            <v>0</v>
          </cell>
          <cell r="P404">
            <v>0</v>
          </cell>
          <cell r="Q404">
            <v>0</v>
          </cell>
          <cell r="R404">
            <v>0</v>
          </cell>
          <cell r="S404">
            <v>1219610.9189189191</v>
          </cell>
          <cell r="T404">
            <v>411576.48648648651</v>
          </cell>
          <cell r="U404">
            <v>0</v>
          </cell>
          <cell r="V404">
            <v>0</v>
          </cell>
          <cell r="W404">
            <v>0</v>
          </cell>
          <cell r="X404">
            <v>0</v>
          </cell>
          <cell r="Y404">
            <v>0</v>
          </cell>
          <cell r="Z404">
            <v>0</v>
          </cell>
          <cell r="AA404">
            <v>0</v>
          </cell>
          <cell r="AB404">
            <v>0</v>
          </cell>
          <cell r="AC404">
            <v>0</v>
          </cell>
          <cell r="AD404">
            <v>0</v>
          </cell>
          <cell r="AE404">
            <v>0</v>
          </cell>
          <cell r="AF404">
            <v>0</v>
          </cell>
          <cell r="AG404">
            <v>1046913.2432432433</v>
          </cell>
          <cell r="AH404">
            <v>127027.02702702704</v>
          </cell>
          <cell r="AI404">
            <v>0</v>
          </cell>
          <cell r="AJ404">
            <v>0</v>
          </cell>
          <cell r="AK404">
            <v>0</v>
          </cell>
          <cell r="AL404">
            <v>0</v>
          </cell>
          <cell r="AM404">
            <v>0</v>
          </cell>
          <cell r="AN404">
            <v>0</v>
          </cell>
          <cell r="AO404">
            <v>0</v>
          </cell>
          <cell r="AP404">
            <v>0</v>
          </cell>
          <cell r="AQ404">
            <v>0</v>
          </cell>
          <cell r="AR404">
            <v>2805127.6756756757</v>
          </cell>
          <cell r="AS404">
            <v>2805127.6756756757</v>
          </cell>
        </row>
        <row r="405">
          <cell r="B405">
            <v>100</v>
          </cell>
          <cell r="C405" t="str">
            <v>防火门及卷帘测算面积</v>
          </cell>
          <cell r="D405" t="str">
            <v>m2</v>
          </cell>
          <cell r="E405">
            <v>0</v>
          </cell>
          <cell r="F405">
            <v>0</v>
          </cell>
          <cell r="G405">
            <v>0</v>
          </cell>
          <cell r="H405">
            <v>0</v>
          </cell>
          <cell r="I405">
            <v>0.10999999999999999</v>
          </cell>
          <cell r="J405">
            <v>0</v>
          </cell>
          <cell r="K405">
            <v>0</v>
          </cell>
          <cell r="L405">
            <v>0</v>
          </cell>
          <cell r="M405">
            <v>0</v>
          </cell>
          <cell r="O405" t="str">
            <v>*</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row>
        <row r="406">
          <cell r="B406">
            <v>125</v>
          </cell>
          <cell r="C406" t="str">
            <v>防火门及卷帘测算面积</v>
          </cell>
          <cell r="D406" t="str">
            <v>m2</v>
          </cell>
          <cell r="E406">
            <v>0</v>
          </cell>
          <cell r="F406">
            <v>0</v>
          </cell>
          <cell r="G406">
            <v>0</v>
          </cell>
          <cell r="H406">
            <v>0</v>
          </cell>
          <cell r="I406">
            <v>0.10999999999999999</v>
          </cell>
          <cell r="J406">
            <v>0</v>
          </cell>
          <cell r="K406">
            <v>0</v>
          </cell>
          <cell r="L406">
            <v>0</v>
          </cell>
          <cell r="M406">
            <v>0</v>
          </cell>
          <cell r="O406" t="str">
            <v>*</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row>
        <row r="407">
          <cell r="B407">
            <v>150</v>
          </cell>
          <cell r="C407" t="str">
            <v>防火门及卷帘测算面积</v>
          </cell>
          <cell r="D407" t="str">
            <v>m2</v>
          </cell>
          <cell r="E407">
            <v>0</v>
          </cell>
          <cell r="F407">
            <v>0</v>
          </cell>
          <cell r="G407">
            <v>0</v>
          </cell>
          <cell r="H407">
            <v>0</v>
          </cell>
          <cell r="I407">
            <v>0.10999999999999999</v>
          </cell>
          <cell r="J407">
            <v>0</v>
          </cell>
          <cell r="K407">
            <v>0</v>
          </cell>
          <cell r="L407">
            <v>0</v>
          </cell>
          <cell r="M407">
            <v>0</v>
          </cell>
          <cell r="O407" t="str">
            <v>*</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row>
        <row r="408">
          <cell r="B408" t="str">
            <v>1T4(30F)</v>
          </cell>
          <cell r="C408" t="str">
            <v>防火门及卷帘测算面积</v>
          </cell>
          <cell r="D408" t="str">
            <v>m2</v>
          </cell>
          <cell r="E408">
            <v>2707.5362399999999</v>
          </cell>
          <cell r="F408">
            <v>500</v>
          </cell>
          <cell r="G408">
            <v>1353768.1199999999</v>
          </cell>
          <cell r="H408">
            <v>0</v>
          </cell>
          <cell r="I408">
            <v>0.10999999999999999</v>
          </cell>
          <cell r="J408">
            <v>450.45045045045049</v>
          </cell>
          <cell r="K408">
            <v>49.549549549549511</v>
          </cell>
          <cell r="L408">
            <v>1219610.9189189191</v>
          </cell>
          <cell r="M408">
            <v>134157.20108108083</v>
          </cell>
          <cell r="O408" t="str">
            <v>*</v>
          </cell>
          <cell r="P408">
            <v>0</v>
          </cell>
          <cell r="Q408">
            <v>0</v>
          </cell>
          <cell r="R408">
            <v>0</v>
          </cell>
          <cell r="S408">
            <v>1219610.9189189191</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1219610.9189189191</v>
          </cell>
          <cell r="AS408">
            <v>0</v>
          </cell>
        </row>
        <row r="409">
          <cell r="B409" t="str">
            <v>1T3(30F)</v>
          </cell>
          <cell r="C409" t="str">
            <v>防火门及卷帘测算面积</v>
          </cell>
          <cell r="D409" t="str">
            <v>m2</v>
          </cell>
          <cell r="E409">
            <v>913.69979999999998</v>
          </cell>
          <cell r="F409">
            <v>500</v>
          </cell>
          <cell r="G409">
            <v>456849.89999999997</v>
          </cell>
          <cell r="H409">
            <v>0</v>
          </cell>
          <cell r="I409">
            <v>0.10999999999999999</v>
          </cell>
          <cell r="J409">
            <v>450.45045045045049</v>
          </cell>
          <cell r="K409">
            <v>49.549549549549511</v>
          </cell>
          <cell r="L409">
            <v>411576.48648648651</v>
          </cell>
          <cell r="M409">
            <v>45273.413513513457</v>
          </cell>
          <cell r="O409" t="str">
            <v>*</v>
          </cell>
          <cell r="P409">
            <v>0</v>
          </cell>
          <cell r="Q409">
            <v>0</v>
          </cell>
          <cell r="R409">
            <v>0</v>
          </cell>
          <cell r="S409">
            <v>0</v>
          </cell>
          <cell r="T409">
            <v>411576.48648648651</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411576.48648648651</v>
          </cell>
          <cell r="AS409">
            <v>0</v>
          </cell>
        </row>
        <row r="410">
          <cell r="B410" t="str">
            <v>LOFT(31F)</v>
          </cell>
          <cell r="C410" t="str">
            <v>防火门及卷帘测算面积</v>
          </cell>
          <cell r="D410" t="str">
            <v>m2</v>
          </cell>
          <cell r="E410">
            <v>0</v>
          </cell>
          <cell r="F410">
            <v>0</v>
          </cell>
          <cell r="G410">
            <v>0</v>
          </cell>
          <cell r="H410">
            <v>0</v>
          </cell>
          <cell r="I410">
            <v>0.10999999999999999</v>
          </cell>
          <cell r="J410">
            <v>0</v>
          </cell>
          <cell r="K410">
            <v>0</v>
          </cell>
          <cell r="L410">
            <v>0</v>
          </cell>
          <cell r="M410">
            <v>0</v>
          </cell>
          <cell r="O410" t="str">
            <v>*</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row>
        <row r="411">
          <cell r="B411" t="str">
            <v>1T2(31F)</v>
          </cell>
          <cell r="C411" t="str">
            <v>防火门及卷帘测算面积</v>
          </cell>
          <cell r="D411" t="str">
            <v>m2</v>
          </cell>
          <cell r="E411">
            <v>0</v>
          </cell>
          <cell r="F411">
            <v>0</v>
          </cell>
          <cell r="H411">
            <v>0</v>
          </cell>
          <cell r="I411">
            <v>0.10999999999999999</v>
          </cell>
          <cell r="J411">
            <v>0</v>
          </cell>
          <cell r="K411">
            <v>0</v>
          </cell>
          <cell r="O411" t="str">
            <v>*</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row>
        <row r="412">
          <cell r="B412" t="str">
            <v>1T8(32F)</v>
          </cell>
          <cell r="C412" t="str">
            <v>防火门及卷帘测算面积</v>
          </cell>
          <cell r="D412" t="str">
            <v>m2</v>
          </cell>
          <cell r="E412">
            <v>0</v>
          </cell>
          <cell r="F412">
            <v>0</v>
          </cell>
          <cell r="G412">
            <v>0</v>
          </cell>
          <cell r="H412">
            <v>0</v>
          </cell>
          <cell r="I412">
            <v>0.10999999999999999</v>
          </cell>
          <cell r="J412">
            <v>0</v>
          </cell>
          <cell r="K412">
            <v>0</v>
          </cell>
          <cell r="L412">
            <v>0</v>
          </cell>
          <cell r="M412">
            <v>0</v>
          </cell>
          <cell r="O412" t="str">
            <v>*</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row>
        <row r="413">
          <cell r="B413" t="str">
            <v>中高层洋房</v>
          </cell>
          <cell r="C413" t="str">
            <v>防火门及卷帘测算面积</v>
          </cell>
          <cell r="D413" t="str">
            <v>m2</v>
          </cell>
          <cell r="E413">
            <v>0</v>
          </cell>
          <cell r="F413">
            <v>0</v>
          </cell>
          <cell r="G413">
            <v>0</v>
          </cell>
          <cell r="H413">
            <v>0</v>
          </cell>
          <cell r="I413">
            <v>0.10999999999999999</v>
          </cell>
          <cell r="J413">
            <v>0</v>
          </cell>
          <cell r="K413">
            <v>0</v>
          </cell>
          <cell r="L413">
            <v>0</v>
          </cell>
          <cell r="M413">
            <v>0</v>
          </cell>
          <cell r="O413" t="str">
            <v>*</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row>
        <row r="414">
          <cell r="B414" t="str">
            <v>115高层洋房</v>
          </cell>
          <cell r="C414" t="str">
            <v>防火门及卷帘测算面积</v>
          </cell>
          <cell r="D414" t="str">
            <v>m2</v>
          </cell>
          <cell r="E414">
            <v>0</v>
          </cell>
          <cell r="F414">
            <v>0</v>
          </cell>
          <cell r="G414">
            <v>0</v>
          </cell>
          <cell r="H414">
            <v>0</v>
          </cell>
          <cell r="I414">
            <v>0.10999999999999999</v>
          </cell>
          <cell r="J414">
            <v>0</v>
          </cell>
          <cell r="K414">
            <v>0</v>
          </cell>
          <cell r="L414">
            <v>0</v>
          </cell>
          <cell r="M414">
            <v>0</v>
          </cell>
          <cell r="N414" t="str">
            <v>按照钢制防火门考虑，系数按建筑面积的0.026，按照二期目前签订的合同单价约495元/平方米</v>
          </cell>
          <cell r="O414" t="str">
            <v>*</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row>
        <row r="415">
          <cell r="B415" t="str">
            <v>超高层洋房</v>
          </cell>
          <cell r="C415" t="str">
            <v>防火门及卷帘测算面积</v>
          </cell>
          <cell r="D415" t="str">
            <v>m2</v>
          </cell>
          <cell r="E415">
            <v>0</v>
          </cell>
          <cell r="F415">
            <v>0</v>
          </cell>
          <cell r="G415">
            <v>0</v>
          </cell>
          <cell r="H415">
            <v>0</v>
          </cell>
          <cell r="I415">
            <v>0.10999999999999999</v>
          </cell>
          <cell r="J415">
            <v>0</v>
          </cell>
          <cell r="K415">
            <v>0</v>
          </cell>
          <cell r="L415">
            <v>0</v>
          </cell>
          <cell r="M415">
            <v>0</v>
          </cell>
          <cell r="O415" t="str">
            <v>*</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row>
        <row r="416">
          <cell r="B416" t="str">
            <v>公寓</v>
          </cell>
          <cell r="C416" t="str">
            <v>防火门及卷帘测算面积</v>
          </cell>
          <cell r="D416" t="str">
            <v>m2</v>
          </cell>
          <cell r="E416">
            <v>0</v>
          </cell>
          <cell r="F416">
            <v>0</v>
          </cell>
          <cell r="G416">
            <v>0</v>
          </cell>
          <cell r="H416">
            <v>0</v>
          </cell>
          <cell r="I416">
            <v>0.10999999999999999</v>
          </cell>
          <cell r="J416">
            <v>0</v>
          </cell>
          <cell r="K416">
            <v>0</v>
          </cell>
          <cell r="L416">
            <v>0</v>
          </cell>
          <cell r="M416">
            <v>0</v>
          </cell>
          <cell r="O416" t="str">
            <v>*</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row>
        <row r="417">
          <cell r="B417" t="str">
            <v>底商</v>
          </cell>
          <cell r="C417" t="str">
            <v>防火门及卷帘测算面积</v>
          </cell>
          <cell r="D417" t="str">
            <v>m2</v>
          </cell>
          <cell r="E417">
            <v>0</v>
          </cell>
          <cell r="F417">
            <v>0</v>
          </cell>
          <cell r="G417">
            <v>0</v>
          </cell>
          <cell r="H417">
            <v>0</v>
          </cell>
          <cell r="I417">
            <v>0.10999999999999999</v>
          </cell>
          <cell r="J417">
            <v>0</v>
          </cell>
          <cell r="K417">
            <v>0</v>
          </cell>
          <cell r="L417">
            <v>0</v>
          </cell>
          <cell r="M417">
            <v>0</v>
          </cell>
          <cell r="O417" t="str">
            <v>*</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row>
        <row r="418">
          <cell r="B418" t="str">
            <v>商业街</v>
          </cell>
          <cell r="C418" t="str">
            <v>防火门及卷帘测算面积</v>
          </cell>
          <cell r="D418" t="str">
            <v>m2</v>
          </cell>
          <cell r="E418">
            <v>0</v>
          </cell>
          <cell r="F418">
            <v>0</v>
          </cell>
          <cell r="G418">
            <v>0</v>
          </cell>
          <cell r="H418">
            <v>0</v>
          </cell>
          <cell r="I418">
            <v>0.10999999999999999</v>
          </cell>
          <cell r="J418">
            <v>0</v>
          </cell>
          <cell r="K418">
            <v>0</v>
          </cell>
          <cell r="L418">
            <v>0</v>
          </cell>
          <cell r="M418">
            <v>0</v>
          </cell>
          <cell r="O418" t="str">
            <v>*</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row>
        <row r="419">
          <cell r="B419" t="str">
            <v>综合楼</v>
          </cell>
          <cell r="C419" t="str">
            <v>防火门及卷帘测算面积</v>
          </cell>
          <cell r="D419" t="str">
            <v>m2</v>
          </cell>
          <cell r="E419">
            <v>0</v>
          </cell>
          <cell r="F419">
            <v>0</v>
          </cell>
          <cell r="G419">
            <v>0</v>
          </cell>
          <cell r="H419">
            <v>0</v>
          </cell>
          <cell r="I419">
            <v>0.10999999999999999</v>
          </cell>
          <cell r="J419">
            <v>0</v>
          </cell>
          <cell r="K419">
            <v>0</v>
          </cell>
          <cell r="L419">
            <v>0</v>
          </cell>
          <cell r="M419">
            <v>0</v>
          </cell>
          <cell r="O419" t="str">
            <v>*</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row>
        <row r="420">
          <cell r="B420" t="str">
            <v>写字楼</v>
          </cell>
          <cell r="C420" t="str">
            <v>防火门及卷帘测算面积</v>
          </cell>
          <cell r="D420" t="str">
            <v>m2</v>
          </cell>
          <cell r="E420">
            <v>0</v>
          </cell>
          <cell r="F420">
            <v>0</v>
          </cell>
          <cell r="G420">
            <v>0</v>
          </cell>
          <cell r="H420">
            <v>0</v>
          </cell>
          <cell r="I420">
            <v>0.10999999999999999</v>
          </cell>
          <cell r="J420">
            <v>0</v>
          </cell>
          <cell r="K420">
            <v>0</v>
          </cell>
          <cell r="L420">
            <v>0</v>
          </cell>
          <cell r="M420">
            <v>0</v>
          </cell>
          <cell r="O420" t="str">
            <v>*</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row>
        <row r="421">
          <cell r="B421" t="str">
            <v>酒店</v>
          </cell>
          <cell r="C421" t="str">
            <v>防火门及卷帘测算面积</v>
          </cell>
          <cell r="D421" t="str">
            <v>m2</v>
          </cell>
          <cell r="E421">
            <v>0</v>
          </cell>
          <cell r="F421">
            <v>0</v>
          </cell>
          <cell r="G421">
            <v>0</v>
          </cell>
          <cell r="H421">
            <v>0</v>
          </cell>
          <cell r="I421">
            <v>0.10999999999999999</v>
          </cell>
          <cell r="J421">
            <v>0</v>
          </cell>
          <cell r="K421">
            <v>0</v>
          </cell>
          <cell r="L421">
            <v>0</v>
          </cell>
          <cell r="M421">
            <v>0</v>
          </cell>
          <cell r="O421" t="str">
            <v>*</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row>
        <row r="422">
          <cell r="B422" t="str">
            <v>医院（自持）</v>
          </cell>
          <cell r="C422" t="str">
            <v>防火门及卷帘测算面积</v>
          </cell>
          <cell r="D422" t="str">
            <v>m2</v>
          </cell>
          <cell r="E422">
            <v>0</v>
          </cell>
          <cell r="F422">
            <v>0</v>
          </cell>
          <cell r="G422">
            <v>0</v>
          </cell>
          <cell r="H422">
            <v>0</v>
          </cell>
          <cell r="I422">
            <v>0.10999999999999999</v>
          </cell>
          <cell r="J422">
            <v>0</v>
          </cell>
          <cell r="K422">
            <v>0</v>
          </cell>
          <cell r="L422">
            <v>0</v>
          </cell>
          <cell r="M422">
            <v>0</v>
          </cell>
          <cell r="O422" t="str">
            <v>*</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row>
        <row r="423">
          <cell r="B423" t="str">
            <v>地上计容车库</v>
          </cell>
          <cell r="C423" t="str">
            <v>防火门及卷帘测算面积</v>
          </cell>
          <cell r="D423" t="str">
            <v>m2</v>
          </cell>
          <cell r="E423">
            <v>0</v>
          </cell>
          <cell r="F423">
            <v>0</v>
          </cell>
          <cell r="G423">
            <v>0</v>
          </cell>
          <cell r="H423">
            <v>0</v>
          </cell>
          <cell r="I423">
            <v>0.10999999999999999</v>
          </cell>
          <cell r="J423">
            <v>0</v>
          </cell>
          <cell r="K423">
            <v>0</v>
          </cell>
          <cell r="L423">
            <v>0</v>
          </cell>
          <cell r="M423">
            <v>0</v>
          </cell>
          <cell r="O423" t="str">
            <v>*</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row>
        <row r="424">
          <cell r="B424" t="str">
            <v>非人防地下室</v>
          </cell>
          <cell r="C424" t="str">
            <v>防火门及卷帘测算面积</v>
          </cell>
          <cell r="D424" t="str">
            <v>m2</v>
          </cell>
          <cell r="E424">
            <v>2324.1473999999998</v>
          </cell>
          <cell r="F424">
            <v>500</v>
          </cell>
          <cell r="G424">
            <v>1162073.7</v>
          </cell>
          <cell r="H424">
            <v>0</v>
          </cell>
          <cell r="I424">
            <v>0.10999999999999999</v>
          </cell>
          <cell r="J424">
            <v>450.45045045045049</v>
          </cell>
          <cell r="K424">
            <v>49.549549549549511</v>
          </cell>
          <cell r="L424">
            <v>1046913.2432432433</v>
          </cell>
          <cell r="M424">
            <v>115160.45675675664</v>
          </cell>
          <cell r="O424" t="str">
            <v>*</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1046913.2432432433</v>
          </cell>
          <cell r="AH424">
            <v>0</v>
          </cell>
          <cell r="AI424">
            <v>0</v>
          </cell>
          <cell r="AJ424">
            <v>0</v>
          </cell>
          <cell r="AK424">
            <v>0</v>
          </cell>
          <cell r="AL424">
            <v>0</v>
          </cell>
          <cell r="AM424">
            <v>0</v>
          </cell>
          <cell r="AN424">
            <v>0</v>
          </cell>
          <cell r="AO424">
            <v>0</v>
          </cell>
          <cell r="AP424">
            <v>0</v>
          </cell>
          <cell r="AQ424">
            <v>0</v>
          </cell>
          <cell r="AR424">
            <v>1046913.2432432433</v>
          </cell>
          <cell r="AS424">
            <v>0</v>
          </cell>
        </row>
        <row r="425">
          <cell r="B425" t="str">
            <v>人防地下室</v>
          </cell>
          <cell r="C425" t="str">
            <v>防火门及卷帘测算面积</v>
          </cell>
          <cell r="D425" t="str">
            <v>m2</v>
          </cell>
          <cell r="E425">
            <v>282</v>
          </cell>
          <cell r="F425">
            <v>500</v>
          </cell>
          <cell r="G425">
            <v>141000</v>
          </cell>
          <cell r="H425">
            <v>0</v>
          </cell>
          <cell r="I425">
            <v>0.10999999999999999</v>
          </cell>
          <cell r="J425">
            <v>450.45045045045049</v>
          </cell>
          <cell r="K425">
            <v>49.549549549549511</v>
          </cell>
          <cell r="L425">
            <v>127027.02702702704</v>
          </cell>
          <cell r="M425">
            <v>13972.972972972959</v>
          </cell>
          <cell r="O425" t="str">
            <v>*</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127027.02702702704</v>
          </cell>
          <cell r="AI425">
            <v>0</v>
          </cell>
          <cell r="AJ425">
            <v>0</v>
          </cell>
          <cell r="AK425">
            <v>0</v>
          </cell>
          <cell r="AL425">
            <v>0</v>
          </cell>
          <cell r="AM425">
            <v>0</v>
          </cell>
          <cell r="AN425">
            <v>0</v>
          </cell>
          <cell r="AO425">
            <v>0</v>
          </cell>
          <cell r="AP425">
            <v>0</v>
          </cell>
          <cell r="AQ425">
            <v>0</v>
          </cell>
          <cell r="AR425">
            <v>127027.02702702704</v>
          </cell>
          <cell r="AS425">
            <v>0</v>
          </cell>
        </row>
        <row r="426">
          <cell r="B426" t="str">
            <v>独立会所（综合楼）</v>
          </cell>
          <cell r="C426" t="str">
            <v>防火门及卷帘测算面积</v>
          </cell>
          <cell r="D426" t="str">
            <v>m2</v>
          </cell>
          <cell r="E426">
            <v>0</v>
          </cell>
          <cell r="F426">
            <v>0</v>
          </cell>
          <cell r="G426">
            <v>0</v>
          </cell>
          <cell r="H426">
            <v>0</v>
          </cell>
          <cell r="I426">
            <v>0.10999999999999999</v>
          </cell>
          <cell r="J426">
            <v>0</v>
          </cell>
          <cell r="K426">
            <v>0</v>
          </cell>
          <cell r="L426">
            <v>0</v>
          </cell>
          <cell r="M426">
            <v>0</v>
          </cell>
          <cell r="O426" t="str">
            <v>*</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row>
        <row r="427">
          <cell r="B427" t="str">
            <v>活动中心</v>
          </cell>
          <cell r="C427" t="str">
            <v>防火门及卷帘测算面积</v>
          </cell>
          <cell r="D427" t="str">
            <v>m2</v>
          </cell>
          <cell r="E427">
            <v>0</v>
          </cell>
          <cell r="F427">
            <v>0</v>
          </cell>
          <cell r="G427">
            <v>0</v>
          </cell>
          <cell r="H427">
            <v>0</v>
          </cell>
          <cell r="I427">
            <v>0.10999999999999999</v>
          </cell>
          <cell r="J427">
            <v>0</v>
          </cell>
          <cell r="K427">
            <v>0</v>
          </cell>
          <cell r="L427">
            <v>0</v>
          </cell>
          <cell r="M427">
            <v>0</v>
          </cell>
          <cell r="O427" t="str">
            <v>*</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row>
        <row r="428">
          <cell r="B428" t="str">
            <v>商贸市场</v>
          </cell>
          <cell r="C428" t="str">
            <v>防火门及卷帘测算面积</v>
          </cell>
          <cell r="D428" t="str">
            <v>m2</v>
          </cell>
          <cell r="E428">
            <v>0</v>
          </cell>
          <cell r="F428">
            <v>0</v>
          </cell>
          <cell r="G428">
            <v>0</v>
          </cell>
          <cell r="H428">
            <v>0</v>
          </cell>
          <cell r="I428">
            <v>0.10999999999999999</v>
          </cell>
          <cell r="J428">
            <v>0</v>
          </cell>
          <cell r="K428">
            <v>0</v>
          </cell>
          <cell r="L428">
            <v>0</v>
          </cell>
          <cell r="M428">
            <v>0</v>
          </cell>
          <cell r="O428" t="str">
            <v>*</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row>
        <row r="429">
          <cell r="B429" t="str">
            <v>医院</v>
          </cell>
          <cell r="C429" t="str">
            <v>防火门及卷帘测算面积</v>
          </cell>
          <cell r="D429" t="str">
            <v>m2</v>
          </cell>
          <cell r="E429">
            <v>0</v>
          </cell>
          <cell r="F429">
            <v>0</v>
          </cell>
          <cell r="G429">
            <v>0</v>
          </cell>
          <cell r="H429">
            <v>0</v>
          </cell>
          <cell r="I429">
            <v>0.10999999999999999</v>
          </cell>
          <cell r="J429">
            <v>0</v>
          </cell>
          <cell r="K429">
            <v>0</v>
          </cell>
          <cell r="L429">
            <v>0</v>
          </cell>
          <cell r="M429">
            <v>0</v>
          </cell>
          <cell r="O429" t="str">
            <v>*</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row>
        <row r="430">
          <cell r="B430" t="str">
            <v>幼儿园</v>
          </cell>
          <cell r="C430" t="str">
            <v>防火门及卷帘测算面积</v>
          </cell>
          <cell r="D430" t="str">
            <v>m2</v>
          </cell>
          <cell r="E430">
            <v>0</v>
          </cell>
          <cell r="F430">
            <v>0</v>
          </cell>
          <cell r="G430">
            <v>0</v>
          </cell>
          <cell r="H430">
            <v>0</v>
          </cell>
          <cell r="I430">
            <v>0.10999999999999999</v>
          </cell>
          <cell r="J430">
            <v>0</v>
          </cell>
          <cell r="K430">
            <v>0</v>
          </cell>
          <cell r="L430">
            <v>0</v>
          </cell>
          <cell r="M430">
            <v>0</v>
          </cell>
          <cell r="O430" t="str">
            <v>*</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row>
        <row r="431">
          <cell r="B431" t="str">
            <v>学校</v>
          </cell>
          <cell r="C431" t="str">
            <v>防火门及卷帘测算面积</v>
          </cell>
          <cell r="D431" t="str">
            <v>m2</v>
          </cell>
          <cell r="E431">
            <v>0</v>
          </cell>
          <cell r="F431">
            <v>0</v>
          </cell>
          <cell r="G431">
            <v>0</v>
          </cell>
          <cell r="H431">
            <v>0</v>
          </cell>
          <cell r="I431">
            <v>0.10999999999999999</v>
          </cell>
          <cell r="J431">
            <v>0</v>
          </cell>
          <cell r="K431">
            <v>0</v>
          </cell>
          <cell r="L431">
            <v>0</v>
          </cell>
          <cell r="M431">
            <v>0</v>
          </cell>
          <cell r="O431" t="str">
            <v>*</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row>
        <row r="432">
          <cell r="B432" t="str">
            <v>员工宿舍</v>
          </cell>
          <cell r="C432" t="str">
            <v>防火门及卷帘测算面积</v>
          </cell>
          <cell r="D432" t="str">
            <v>m2</v>
          </cell>
          <cell r="E432">
            <v>0</v>
          </cell>
          <cell r="F432">
            <v>0</v>
          </cell>
          <cell r="G432">
            <v>0</v>
          </cell>
          <cell r="H432">
            <v>0</v>
          </cell>
          <cell r="I432">
            <v>0.10999999999999999</v>
          </cell>
          <cell r="J432">
            <v>0</v>
          </cell>
          <cell r="K432">
            <v>0</v>
          </cell>
          <cell r="L432">
            <v>0</v>
          </cell>
          <cell r="M432">
            <v>0</v>
          </cell>
          <cell r="O432" t="str">
            <v>*</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row>
        <row r="433">
          <cell r="A433" t="str">
            <v>03.01.05</v>
          </cell>
          <cell r="B433" t="str">
            <v xml:space="preserve">公共部位装修  </v>
          </cell>
          <cell r="C433" t="str">
            <v>地上建筑面积</v>
          </cell>
          <cell r="D433" t="str">
            <v>m2</v>
          </cell>
          <cell r="E433">
            <v>154715.32</v>
          </cell>
          <cell r="F433">
            <v>94.812641020868512</v>
          </cell>
          <cell r="G433">
            <v>14668968.0955888</v>
          </cell>
          <cell r="I433">
            <v>0.10999999999999989</v>
          </cell>
          <cell r="J433">
            <v>85.416793712494169</v>
          </cell>
          <cell r="K433">
            <v>9.3958473083743428</v>
          </cell>
          <cell r="L433">
            <v>13215286.572602523</v>
          </cell>
          <cell r="M433">
            <v>1453681.5229862761</v>
          </cell>
          <cell r="P433">
            <v>0</v>
          </cell>
          <cell r="Q433">
            <v>0</v>
          </cell>
          <cell r="R433">
            <v>0</v>
          </cell>
          <cell r="S433">
            <v>10645574.271622343</v>
          </cell>
          <cell r="T433">
            <v>2569712.3009801805</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13215286.572602523</v>
          </cell>
          <cell r="AS433">
            <v>0</v>
          </cell>
        </row>
        <row r="434">
          <cell r="B434" t="str">
            <v>楼梯间装修</v>
          </cell>
          <cell r="C434" t="str">
            <v>地上建筑面积</v>
          </cell>
          <cell r="D434" t="str">
            <v>m2</v>
          </cell>
          <cell r="E434">
            <v>154715.32</v>
          </cell>
          <cell r="F434">
            <v>5.6317637948717678</v>
          </cell>
          <cell r="G434">
            <v>871320.13768799999</v>
          </cell>
          <cell r="I434">
            <v>0.10999999999999993</v>
          </cell>
          <cell r="J434">
            <v>5.073661076461053</v>
          </cell>
          <cell r="K434">
            <v>0.55810271841071479</v>
          </cell>
          <cell r="L434">
            <v>784973.09701621626</v>
          </cell>
          <cell r="M434">
            <v>86347.040671783732</v>
          </cell>
          <cell r="P434">
            <v>0</v>
          </cell>
          <cell r="Q434">
            <v>0</v>
          </cell>
          <cell r="R434">
            <v>0</v>
          </cell>
          <cell r="S434">
            <v>636311.67009729729</v>
          </cell>
          <cell r="T434">
            <v>148661.42691891894</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784973.09701621626</v>
          </cell>
          <cell r="AS434">
            <v>0</v>
          </cell>
        </row>
        <row r="435">
          <cell r="B435">
            <v>100</v>
          </cell>
          <cell r="C435" t="str">
            <v>楼梯间面积</v>
          </cell>
          <cell r="D435" t="str">
            <v>m2</v>
          </cell>
          <cell r="E435">
            <v>0</v>
          </cell>
          <cell r="F435">
            <v>0</v>
          </cell>
          <cell r="G435">
            <v>0</v>
          </cell>
          <cell r="H435">
            <v>0</v>
          </cell>
          <cell r="I435">
            <v>0.10999999999999999</v>
          </cell>
          <cell r="J435">
            <v>0</v>
          </cell>
          <cell r="K435">
            <v>0</v>
          </cell>
          <cell r="L435">
            <v>0</v>
          </cell>
          <cell r="M435">
            <v>0</v>
          </cell>
          <cell r="O435" t="str">
            <v>*</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row>
        <row r="436">
          <cell r="B436">
            <v>125</v>
          </cell>
          <cell r="C436" t="str">
            <v>楼梯间面积</v>
          </cell>
          <cell r="D436" t="str">
            <v>m2</v>
          </cell>
          <cell r="E436">
            <v>0</v>
          </cell>
          <cell r="F436">
            <v>0</v>
          </cell>
          <cell r="G436">
            <v>0</v>
          </cell>
          <cell r="H436">
            <v>0</v>
          </cell>
          <cell r="I436">
            <v>0.10999999999999999</v>
          </cell>
          <cell r="J436">
            <v>0</v>
          </cell>
          <cell r="K436">
            <v>0</v>
          </cell>
          <cell r="L436">
            <v>0</v>
          </cell>
          <cell r="M436">
            <v>0</v>
          </cell>
          <cell r="O436" t="str">
            <v>*</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row>
        <row r="437">
          <cell r="B437">
            <v>150</v>
          </cell>
          <cell r="C437" t="str">
            <v>楼梯间面积</v>
          </cell>
          <cell r="D437" t="str">
            <v>m2</v>
          </cell>
          <cell r="E437">
            <v>0</v>
          </cell>
          <cell r="F437">
            <v>0</v>
          </cell>
          <cell r="G437">
            <v>0</v>
          </cell>
          <cell r="H437">
            <v>0</v>
          </cell>
          <cell r="I437">
            <v>0.10999999999999999</v>
          </cell>
          <cell r="J437">
            <v>0</v>
          </cell>
          <cell r="K437">
            <v>0</v>
          </cell>
          <cell r="L437">
            <v>0</v>
          </cell>
          <cell r="M437">
            <v>0</v>
          </cell>
          <cell r="O437" t="str">
            <v>*</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row>
        <row r="438">
          <cell r="B438" t="str">
            <v>1T4(30F)</v>
          </cell>
          <cell r="C438" t="str">
            <v>楼梯间面积</v>
          </cell>
          <cell r="D438" t="str">
            <v>m2</v>
          </cell>
          <cell r="E438">
            <v>4527.6022679999996</v>
          </cell>
          <cell r="F438">
            <v>156</v>
          </cell>
          <cell r="G438">
            <v>706305.95380799996</v>
          </cell>
          <cell r="H438">
            <v>0</v>
          </cell>
          <cell r="I438">
            <v>0.10999999999999999</v>
          </cell>
          <cell r="J438">
            <v>140.54054054054055</v>
          </cell>
          <cell r="K438">
            <v>15.459459459459453</v>
          </cell>
          <cell r="L438">
            <v>636311.67009729729</v>
          </cell>
          <cell r="M438">
            <v>69994.283710702672</v>
          </cell>
          <cell r="O438" t="str">
            <v>*</v>
          </cell>
          <cell r="P438">
            <v>0</v>
          </cell>
          <cell r="Q438">
            <v>0</v>
          </cell>
          <cell r="R438">
            <v>0</v>
          </cell>
          <cell r="S438">
            <v>636311.67009729729</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636311.67009729729</v>
          </cell>
          <cell r="AS438">
            <v>0</v>
          </cell>
        </row>
        <row r="439">
          <cell r="B439" t="str">
            <v>1T3(30F)</v>
          </cell>
          <cell r="C439" t="str">
            <v>楼梯间面积</v>
          </cell>
          <cell r="D439" t="str">
            <v>m2</v>
          </cell>
          <cell r="E439">
            <v>1057.78323</v>
          </cell>
          <cell r="F439">
            <v>156</v>
          </cell>
          <cell r="G439">
            <v>165014.18388</v>
          </cell>
          <cell r="H439">
            <v>0</v>
          </cell>
          <cell r="I439">
            <v>0.10999999999999999</v>
          </cell>
          <cell r="J439">
            <v>140.54054054054055</v>
          </cell>
          <cell r="K439">
            <v>15.459459459459453</v>
          </cell>
          <cell r="L439">
            <v>148661.42691891894</v>
          </cell>
          <cell r="M439">
            <v>16352.756961081061</v>
          </cell>
          <cell r="O439" t="str">
            <v>*</v>
          </cell>
          <cell r="P439">
            <v>0</v>
          </cell>
          <cell r="Q439">
            <v>0</v>
          </cell>
          <cell r="R439">
            <v>0</v>
          </cell>
          <cell r="S439">
            <v>0</v>
          </cell>
          <cell r="T439">
            <v>148661.42691891894</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148661.42691891894</v>
          </cell>
          <cell r="AS439">
            <v>0</v>
          </cell>
        </row>
        <row r="440">
          <cell r="B440" t="str">
            <v>LOFT(31F)</v>
          </cell>
          <cell r="C440" t="str">
            <v>楼梯间面积</v>
          </cell>
          <cell r="D440" t="str">
            <v>m3</v>
          </cell>
          <cell r="E440">
            <v>0</v>
          </cell>
          <cell r="F440">
            <v>156</v>
          </cell>
          <cell r="G440">
            <v>0</v>
          </cell>
          <cell r="H440">
            <v>0</v>
          </cell>
          <cell r="I440">
            <v>0.10999999999999999</v>
          </cell>
          <cell r="J440">
            <v>140.54054054054055</v>
          </cell>
          <cell r="K440">
            <v>15.459459459459453</v>
          </cell>
          <cell r="L440">
            <v>0</v>
          </cell>
          <cell r="M440">
            <v>0</v>
          </cell>
          <cell r="O440" t="str">
            <v>*</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row>
        <row r="441">
          <cell r="B441" t="str">
            <v>1T2(31F)</v>
          </cell>
          <cell r="C441" t="str">
            <v>楼梯间面积</v>
          </cell>
          <cell r="D441" t="str">
            <v>m4</v>
          </cell>
          <cell r="E441">
            <v>0</v>
          </cell>
          <cell r="F441">
            <v>156</v>
          </cell>
          <cell r="G441">
            <v>0</v>
          </cell>
          <cell r="H441">
            <v>0</v>
          </cell>
          <cell r="I441">
            <v>0.10999999999999999</v>
          </cell>
          <cell r="J441">
            <v>140.54054054054055</v>
          </cell>
          <cell r="K441">
            <v>15.459459459459453</v>
          </cell>
          <cell r="L441">
            <v>0</v>
          </cell>
          <cell r="M441">
            <v>0</v>
          </cell>
          <cell r="O441" t="str">
            <v>*</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row>
        <row r="442">
          <cell r="B442" t="str">
            <v>1T8(32F)</v>
          </cell>
          <cell r="C442" t="str">
            <v>楼梯间面积</v>
          </cell>
          <cell r="D442" t="str">
            <v>m5</v>
          </cell>
          <cell r="E442">
            <v>0</v>
          </cell>
          <cell r="F442">
            <v>156</v>
          </cell>
          <cell r="G442">
            <v>0</v>
          </cell>
          <cell r="H442">
            <v>0</v>
          </cell>
          <cell r="I442">
            <v>0.10999999999999999</v>
          </cell>
          <cell r="J442">
            <v>140.54054054054055</v>
          </cell>
          <cell r="K442">
            <v>15.459459459459453</v>
          </cell>
          <cell r="L442">
            <v>0</v>
          </cell>
          <cell r="M442">
            <v>0</v>
          </cell>
          <cell r="O442" t="str">
            <v>*</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row>
        <row r="443">
          <cell r="B443" t="str">
            <v>中高层洋房</v>
          </cell>
          <cell r="C443" t="str">
            <v>楼梯间面积</v>
          </cell>
          <cell r="D443" t="str">
            <v>m6</v>
          </cell>
          <cell r="E443">
            <v>0</v>
          </cell>
          <cell r="F443">
            <v>156</v>
          </cell>
          <cell r="G443">
            <v>0</v>
          </cell>
          <cell r="H443">
            <v>0</v>
          </cell>
          <cell r="I443">
            <v>0.10999999999999999</v>
          </cell>
          <cell r="J443">
            <v>140.54054054054055</v>
          </cell>
          <cell r="K443">
            <v>15.459459459459453</v>
          </cell>
          <cell r="L443">
            <v>0</v>
          </cell>
          <cell r="M443">
            <v>0</v>
          </cell>
          <cell r="O443" t="str">
            <v>*</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row>
        <row r="444">
          <cell r="B444" t="str">
            <v>115高层洋房</v>
          </cell>
          <cell r="C444" t="str">
            <v>楼梯间面积</v>
          </cell>
          <cell r="D444" t="str">
            <v>m7</v>
          </cell>
          <cell r="E444">
            <v>0</v>
          </cell>
          <cell r="F444">
            <v>156</v>
          </cell>
          <cell r="G444">
            <v>0</v>
          </cell>
          <cell r="H444">
            <v>0</v>
          </cell>
          <cell r="I444">
            <v>0.10999999999999999</v>
          </cell>
          <cell r="J444">
            <v>140.54054054054055</v>
          </cell>
          <cell r="K444">
            <v>15.459459459459453</v>
          </cell>
          <cell r="L444">
            <v>0</v>
          </cell>
          <cell r="M444">
            <v>0</v>
          </cell>
          <cell r="N444" t="str">
            <v>考虑1T2(215)主要上楼通道为楼梯间，提升装修标准，按240元/m2预估。</v>
          </cell>
          <cell r="O444" t="str">
            <v>*</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row>
        <row r="445">
          <cell r="B445" t="str">
            <v>超高层洋房</v>
          </cell>
          <cell r="C445" t="str">
            <v>楼梯间面积</v>
          </cell>
          <cell r="D445" t="str">
            <v>m8</v>
          </cell>
          <cell r="E445">
            <v>0</v>
          </cell>
          <cell r="F445">
            <v>156</v>
          </cell>
          <cell r="G445">
            <v>0</v>
          </cell>
          <cell r="H445">
            <v>0</v>
          </cell>
          <cell r="I445">
            <v>0.10999999999999999</v>
          </cell>
          <cell r="J445">
            <v>140.54054054054055</v>
          </cell>
          <cell r="K445">
            <v>15.459459459459453</v>
          </cell>
          <cell r="L445">
            <v>0</v>
          </cell>
          <cell r="M445">
            <v>0</v>
          </cell>
          <cell r="O445" t="str">
            <v>*</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row>
        <row r="446">
          <cell r="B446" t="str">
            <v>公寓</v>
          </cell>
          <cell r="C446" t="str">
            <v>楼梯间面积</v>
          </cell>
          <cell r="D446" t="str">
            <v>m9</v>
          </cell>
          <cell r="E446">
            <v>0</v>
          </cell>
          <cell r="F446">
            <v>156</v>
          </cell>
          <cell r="G446">
            <v>0</v>
          </cell>
          <cell r="H446">
            <v>0</v>
          </cell>
          <cell r="I446">
            <v>0.10999999999999999</v>
          </cell>
          <cell r="J446">
            <v>140.54054054054055</v>
          </cell>
          <cell r="K446">
            <v>15.459459459459453</v>
          </cell>
          <cell r="L446">
            <v>0</v>
          </cell>
          <cell r="M446">
            <v>0</v>
          </cell>
          <cell r="O446" t="str">
            <v>*</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row>
        <row r="447">
          <cell r="B447" t="str">
            <v>底商</v>
          </cell>
          <cell r="C447" t="str">
            <v>楼梯间面积</v>
          </cell>
          <cell r="D447" t="str">
            <v>m10</v>
          </cell>
          <cell r="E447">
            <v>0</v>
          </cell>
          <cell r="F447">
            <v>0</v>
          </cell>
          <cell r="G447">
            <v>0</v>
          </cell>
          <cell r="H447">
            <v>0</v>
          </cell>
          <cell r="I447">
            <v>0.10999999999999999</v>
          </cell>
          <cell r="J447">
            <v>0</v>
          </cell>
          <cell r="K447">
            <v>0</v>
          </cell>
          <cell r="L447">
            <v>0</v>
          </cell>
          <cell r="M447">
            <v>0</v>
          </cell>
          <cell r="O447" t="str">
            <v>*</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row>
        <row r="448">
          <cell r="B448" t="str">
            <v>商业街</v>
          </cell>
          <cell r="C448" t="str">
            <v>楼梯间面积</v>
          </cell>
          <cell r="D448" t="str">
            <v>m11</v>
          </cell>
          <cell r="E448">
            <v>0</v>
          </cell>
          <cell r="F448">
            <v>0</v>
          </cell>
          <cell r="G448">
            <v>0</v>
          </cell>
          <cell r="H448">
            <v>0</v>
          </cell>
          <cell r="I448">
            <v>0.10999999999999999</v>
          </cell>
          <cell r="J448">
            <v>0</v>
          </cell>
          <cell r="K448">
            <v>0</v>
          </cell>
          <cell r="L448">
            <v>0</v>
          </cell>
          <cell r="M448">
            <v>0</v>
          </cell>
          <cell r="O448" t="str">
            <v>*</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row>
        <row r="449">
          <cell r="B449" t="str">
            <v>综合楼</v>
          </cell>
          <cell r="C449" t="str">
            <v>楼梯间面积</v>
          </cell>
          <cell r="D449" t="str">
            <v>m12</v>
          </cell>
          <cell r="E449">
            <v>0</v>
          </cell>
          <cell r="F449">
            <v>0</v>
          </cell>
          <cell r="G449">
            <v>0</v>
          </cell>
          <cell r="H449">
            <v>0</v>
          </cell>
          <cell r="I449">
            <v>0.10999999999999999</v>
          </cell>
          <cell r="J449">
            <v>0</v>
          </cell>
          <cell r="K449">
            <v>0</v>
          </cell>
          <cell r="L449">
            <v>0</v>
          </cell>
          <cell r="M449">
            <v>0</v>
          </cell>
          <cell r="O449" t="str">
            <v>*</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row>
        <row r="450">
          <cell r="B450" t="str">
            <v>写字楼</v>
          </cell>
          <cell r="C450" t="str">
            <v>楼梯间面积</v>
          </cell>
          <cell r="D450" t="str">
            <v>m13</v>
          </cell>
          <cell r="E450">
            <v>0</v>
          </cell>
          <cell r="F450">
            <v>0</v>
          </cell>
          <cell r="G450">
            <v>0</v>
          </cell>
          <cell r="H450">
            <v>0</v>
          </cell>
          <cell r="I450">
            <v>0.10999999999999999</v>
          </cell>
          <cell r="J450">
            <v>0</v>
          </cell>
          <cell r="K450">
            <v>0</v>
          </cell>
          <cell r="L450">
            <v>0</v>
          </cell>
          <cell r="M450">
            <v>0</v>
          </cell>
          <cell r="O450" t="str">
            <v>*</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row>
        <row r="451">
          <cell r="B451" t="str">
            <v>酒店</v>
          </cell>
          <cell r="C451" t="str">
            <v>楼梯间面积</v>
          </cell>
          <cell r="D451" t="str">
            <v>m14</v>
          </cell>
          <cell r="E451">
            <v>0</v>
          </cell>
          <cell r="F451">
            <v>0</v>
          </cell>
          <cell r="G451">
            <v>0</v>
          </cell>
          <cell r="H451">
            <v>0</v>
          </cell>
          <cell r="I451">
            <v>0.10999999999999999</v>
          </cell>
          <cell r="J451">
            <v>0</v>
          </cell>
          <cell r="K451">
            <v>0</v>
          </cell>
          <cell r="L451">
            <v>0</v>
          </cell>
          <cell r="M451">
            <v>0</v>
          </cell>
          <cell r="O451" t="str">
            <v>*</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row>
        <row r="452">
          <cell r="B452" t="str">
            <v>医院（自持）</v>
          </cell>
          <cell r="C452" t="str">
            <v>楼梯间面积</v>
          </cell>
          <cell r="D452" t="str">
            <v>m15</v>
          </cell>
          <cell r="E452">
            <v>0</v>
          </cell>
          <cell r="F452">
            <v>0</v>
          </cell>
          <cell r="G452">
            <v>0</v>
          </cell>
          <cell r="H452">
            <v>0</v>
          </cell>
          <cell r="I452">
            <v>0.10999999999999999</v>
          </cell>
          <cell r="J452">
            <v>0</v>
          </cell>
          <cell r="K452">
            <v>0</v>
          </cell>
          <cell r="L452">
            <v>0</v>
          </cell>
          <cell r="M452">
            <v>0</v>
          </cell>
          <cell r="O452" t="str">
            <v>*</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row>
        <row r="453">
          <cell r="B453" t="str">
            <v>地上计容车库</v>
          </cell>
          <cell r="C453" t="str">
            <v>楼梯间面积</v>
          </cell>
          <cell r="D453" t="str">
            <v>m16</v>
          </cell>
          <cell r="E453">
            <v>0</v>
          </cell>
          <cell r="F453">
            <v>0</v>
          </cell>
          <cell r="G453">
            <v>0</v>
          </cell>
          <cell r="H453">
            <v>0</v>
          </cell>
          <cell r="I453">
            <v>0.10999999999999999</v>
          </cell>
          <cell r="J453">
            <v>0</v>
          </cell>
          <cell r="K453">
            <v>0</v>
          </cell>
          <cell r="L453">
            <v>0</v>
          </cell>
          <cell r="M453">
            <v>0</v>
          </cell>
          <cell r="O453" t="str">
            <v>*</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row>
        <row r="454">
          <cell r="B454" t="str">
            <v>非人防地下室</v>
          </cell>
          <cell r="C454" t="str">
            <v>楼梯间面积</v>
          </cell>
          <cell r="D454" t="str">
            <v>m17</v>
          </cell>
          <cell r="E454">
            <v>0</v>
          </cell>
          <cell r="F454">
            <v>0</v>
          </cell>
          <cell r="G454">
            <v>0</v>
          </cell>
          <cell r="H454">
            <v>0</v>
          </cell>
          <cell r="I454">
            <v>0.10999999999999999</v>
          </cell>
          <cell r="J454">
            <v>0</v>
          </cell>
          <cell r="K454">
            <v>0</v>
          </cell>
          <cell r="L454">
            <v>0</v>
          </cell>
          <cell r="M454">
            <v>0</v>
          </cell>
          <cell r="O454" t="str">
            <v>*</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row>
        <row r="455">
          <cell r="B455" t="str">
            <v>人防地下室</v>
          </cell>
          <cell r="C455" t="str">
            <v>楼梯间面积</v>
          </cell>
          <cell r="D455" t="str">
            <v>m18</v>
          </cell>
          <cell r="E455">
            <v>0</v>
          </cell>
          <cell r="F455">
            <v>0</v>
          </cell>
          <cell r="G455">
            <v>0</v>
          </cell>
          <cell r="H455">
            <v>0</v>
          </cell>
          <cell r="I455">
            <v>0.10999999999999999</v>
          </cell>
          <cell r="J455">
            <v>0</v>
          </cell>
          <cell r="K455">
            <v>0</v>
          </cell>
          <cell r="L455">
            <v>0</v>
          </cell>
          <cell r="M455">
            <v>0</v>
          </cell>
          <cell r="O455" t="str">
            <v>*</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row>
        <row r="456">
          <cell r="B456" t="str">
            <v>独立会所（综合楼）</v>
          </cell>
          <cell r="C456" t="str">
            <v>楼梯间面积</v>
          </cell>
          <cell r="D456" t="str">
            <v>m19</v>
          </cell>
          <cell r="E456">
            <v>0</v>
          </cell>
          <cell r="F456">
            <v>0</v>
          </cell>
          <cell r="G456">
            <v>0</v>
          </cell>
          <cell r="H456">
            <v>0</v>
          </cell>
          <cell r="I456">
            <v>0.10999999999999999</v>
          </cell>
          <cell r="J456">
            <v>0</v>
          </cell>
          <cell r="K456">
            <v>0</v>
          </cell>
          <cell r="L456">
            <v>0</v>
          </cell>
          <cell r="M456">
            <v>0</v>
          </cell>
          <cell r="O456" t="str">
            <v>*</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row>
        <row r="457">
          <cell r="B457" t="str">
            <v>活动中心</v>
          </cell>
          <cell r="C457" t="str">
            <v>楼梯间面积</v>
          </cell>
          <cell r="D457" t="str">
            <v>m20</v>
          </cell>
          <cell r="E457">
            <v>0</v>
          </cell>
          <cell r="F457">
            <v>0</v>
          </cell>
          <cell r="G457">
            <v>0</v>
          </cell>
          <cell r="H457">
            <v>0</v>
          </cell>
          <cell r="I457">
            <v>0.10999999999999999</v>
          </cell>
          <cell r="J457">
            <v>0</v>
          </cell>
          <cell r="K457">
            <v>0</v>
          </cell>
          <cell r="L457">
            <v>0</v>
          </cell>
          <cell r="M457">
            <v>0</v>
          </cell>
          <cell r="O457" t="str">
            <v>*</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row>
        <row r="458">
          <cell r="B458" t="str">
            <v>商贸市场</v>
          </cell>
          <cell r="C458" t="str">
            <v>楼梯间面积</v>
          </cell>
          <cell r="D458" t="str">
            <v>m21</v>
          </cell>
          <cell r="E458">
            <v>0</v>
          </cell>
          <cell r="F458">
            <v>0</v>
          </cell>
          <cell r="G458">
            <v>0</v>
          </cell>
          <cell r="H458">
            <v>0</v>
          </cell>
          <cell r="I458">
            <v>0.10999999999999999</v>
          </cell>
          <cell r="J458">
            <v>0</v>
          </cell>
          <cell r="K458">
            <v>0</v>
          </cell>
          <cell r="L458">
            <v>0</v>
          </cell>
          <cell r="M458">
            <v>0</v>
          </cell>
          <cell r="O458" t="str">
            <v>*</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row>
        <row r="459">
          <cell r="B459" t="str">
            <v>医院</v>
          </cell>
          <cell r="C459" t="str">
            <v>楼梯间面积</v>
          </cell>
          <cell r="D459" t="str">
            <v>m22</v>
          </cell>
          <cell r="E459">
            <v>0</v>
          </cell>
          <cell r="F459">
            <v>0</v>
          </cell>
          <cell r="G459">
            <v>0</v>
          </cell>
          <cell r="H459">
            <v>0</v>
          </cell>
          <cell r="I459">
            <v>0.10999999999999999</v>
          </cell>
          <cell r="J459">
            <v>0</v>
          </cell>
          <cell r="K459">
            <v>0</v>
          </cell>
          <cell r="L459">
            <v>0</v>
          </cell>
          <cell r="M459">
            <v>0</v>
          </cell>
          <cell r="O459" t="str">
            <v>*</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row>
        <row r="460">
          <cell r="B460" t="str">
            <v>幼儿园</v>
          </cell>
          <cell r="C460" t="str">
            <v>楼梯间面积</v>
          </cell>
          <cell r="D460" t="str">
            <v>m23</v>
          </cell>
          <cell r="E460">
            <v>0</v>
          </cell>
          <cell r="F460">
            <v>0</v>
          </cell>
          <cell r="G460">
            <v>0</v>
          </cell>
          <cell r="H460">
            <v>0</v>
          </cell>
          <cell r="I460">
            <v>0.10999999999999999</v>
          </cell>
          <cell r="J460">
            <v>0</v>
          </cell>
          <cell r="K460">
            <v>0</v>
          </cell>
          <cell r="L460">
            <v>0</v>
          </cell>
          <cell r="M460">
            <v>0</v>
          </cell>
          <cell r="O460" t="str">
            <v>*</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row>
        <row r="461">
          <cell r="B461" t="str">
            <v>学校</v>
          </cell>
          <cell r="C461" t="str">
            <v>楼梯间面积</v>
          </cell>
          <cell r="D461" t="str">
            <v>m24</v>
          </cell>
          <cell r="E461">
            <v>0</v>
          </cell>
          <cell r="F461">
            <v>0</v>
          </cell>
          <cell r="G461">
            <v>0</v>
          </cell>
          <cell r="H461">
            <v>0</v>
          </cell>
          <cell r="I461">
            <v>0.10999999999999999</v>
          </cell>
          <cell r="J461">
            <v>0</v>
          </cell>
          <cell r="K461">
            <v>0</v>
          </cell>
          <cell r="L461">
            <v>0</v>
          </cell>
          <cell r="M461">
            <v>0</v>
          </cell>
          <cell r="O461" t="str">
            <v>*</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row>
        <row r="462">
          <cell r="B462" t="str">
            <v>员工宿舍</v>
          </cell>
          <cell r="C462" t="str">
            <v>楼梯间面积</v>
          </cell>
          <cell r="D462" t="str">
            <v>m25</v>
          </cell>
          <cell r="E462">
            <v>0</v>
          </cell>
          <cell r="F462">
            <v>0</v>
          </cell>
          <cell r="G462">
            <v>0</v>
          </cell>
          <cell r="H462">
            <v>0</v>
          </cell>
          <cell r="I462">
            <v>0.10999999999999999</v>
          </cell>
          <cell r="J462">
            <v>0</v>
          </cell>
          <cell r="K462">
            <v>0</v>
          </cell>
          <cell r="L462">
            <v>0</v>
          </cell>
          <cell r="M462">
            <v>0</v>
          </cell>
          <cell r="O462" t="str">
            <v>*</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row>
        <row r="463">
          <cell r="B463" t="str">
            <v>入户大堂装修</v>
          </cell>
          <cell r="C463" t="str">
            <v>地上建筑面积</v>
          </cell>
          <cell r="D463" t="str">
            <v>m2</v>
          </cell>
          <cell r="E463">
            <v>154715.32</v>
          </cell>
          <cell r="F463">
            <v>45.24438820926072</v>
          </cell>
          <cell r="G463">
            <v>7000000</v>
          </cell>
          <cell r="I463">
            <v>0.11</v>
          </cell>
          <cell r="J463">
            <v>40.76071009843308</v>
          </cell>
          <cell r="K463">
            <v>4.4836781108276398</v>
          </cell>
          <cell r="L463">
            <v>6306306.3063063063</v>
          </cell>
          <cell r="M463">
            <v>693693.69369369373</v>
          </cell>
          <cell r="P463">
            <v>0</v>
          </cell>
          <cell r="Q463">
            <v>0</v>
          </cell>
          <cell r="R463">
            <v>0</v>
          </cell>
          <cell r="S463">
            <v>5045045.0450450452</v>
          </cell>
          <cell r="T463">
            <v>1261261.2612612613</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6306306.3063063063</v>
          </cell>
          <cell r="AS463">
            <v>0</v>
          </cell>
        </row>
        <row r="464">
          <cell r="B464">
            <v>100</v>
          </cell>
          <cell r="C464" t="str">
            <v>大堂面积</v>
          </cell>
          <cell r="D464" t="str">
            <v>m2</v>
          </cell>
          <cell r="E464">
            <v>0</v>
          </cell>
          <cell r="F464">
            <v>0</v>
          </cell>
          <cell r="G464">
            <v>0</v>
          </cell>
          <cell r="H464">
            <v>0</v>
          </cell>
          <cell r="I464">
            <v>0.10999999999999999</v>
          </cell>
          <cell r="J464">
            <v>0</v>
          </cell>
          <cell r="K464">
            <v>0</v>
          </cell>
          <cell r="L464">
            <v>0</v>
          </cell>
          <cell r="M464">
            <v>0</v>
          </cell>
          <cell r="O464" t="str">
            <v>*</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row>
        <row r="465">
          <cell r="B465">
            <v>125</v>
          </cell>
          <cell r="C465" t="str">
            <v>大堂面积</v>
          </cell>
          <cell r="D465" t="str">
            <v>m2</v>
          </cell>
          <cell r="E465">
            <v>0</v>
          </cell>
          <cell r="F465">
            <v>0</v>
          </cell>
          <cell r="G465">
            <v>0</v>
          </cell>
          <cell r="H465">
            <v>0</v>
          </cell>
          <cell r="I465">
            <v>0.10999999999999999</v>
          </cell>
          <cell r="J465">
            <v>0</v>
          </cell>
          <cell r="K465">
            <v>0</v>
          </cell>
          <cell r="L465">
            <v>0</v>
          </cell>
          <cell r="M465">
            <v>0</v>
          </cell>
          <cell r="O465" t="str">
            <v>*</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row>
        <row r="466">
          <cell r="B466">
            <v>150</v>
          </cell>
          <cell r="C466" t="str">
            <v>大堂面积</v>
          </cell>
          <cell r="D466" t="str">
            <v>m2</v>
          </cell>
          <cell r="E466">
            <v>0</v>
          </cell>
          <cell r="F466">
            <v>0</v>
          </cell>
          <cell r="G466">
            <v>0</v>
          </cell>
          <cell r="H466">
            <v>0</v>
          </cell>
          <cell r="I466">
            <v>0.10999999999999999</v>
          </cell>
          <cell r="J466">
            <v>0</v>
          </cell>
          <cell r="K466">
            <v>0</v>
          </cell>
          <cell r="L466">
            <v>0</v>
          </cell>
          <cell r="M466">
            <v>0</v>
          </cell>
          <cell r="O466" t="str">
            <v>*</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row>
        <row r="467">
          <cell r="B467" t="str">
            <v>1T4(30F)</v>
          </cell>
          <cell r="C467" t="str">
            <v>大堂面积</v>
          </cell>
          <cell r="D467" t="str">
            <v>m2</v>
          </cell>
          <cell r="E467">
            <v>2000</v>
          </cell>
          <cell r="F467">
            <v>2800</v>
          </cell>
          <cell r="G467">
            <v>5600000</v>
          </cell>
          <cell r="H467">
            <v>0</v>
          </cell>
          <cell r="I467">
            <v>0.10999999999999999</v>
          </cell>
          <cell r="J467">
            <v>2522.5225225225226</v>
          </cell>
          <cell r="K467">
            <v>277.47747747747735</v>
          </cell>
          <cell r="L467">
            <v>5045045.0450450452</v>
          </cell>
          <cell r="M467">
            <v>554954.9549549548</v>
          </cell>
          <cell r="O467" t="str">
            <v>*</v>
          </cell>
          <cell r="P467">
            <v>0</v>
          </cell>
          <cell r="Q467">
            <v>0</v>
          </cell>
          <cell r="R467">
            <v>0</v>
          </cell>
          <cell r="S467">
            <v>5045045.0450450452</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5045045.0450450452</v>
          </cell>
          <cell r="AS467">
            <v>0</v>
          </cell>
        </row>
        <row r="468">
          <cell r="B468" t="str">
            <v>1T3(30F)</v>
          </cell>
          <cell r="C468" t="str">
            <v>大堂面积</v>
          </cell>
          <cell r="D468" t="str">
            <v>m2</v>
          </cell>
          <cell r="E468">
            <v>500</v>
          </cell>
          <cell r="F468">
            <v>2800</v>
          </cell>
          <cell r="G468">
            <v>1400000</v>
          </cell>
          <cell r="H468">
            <v>0</v>
          </cell>
          <cell r="I468">
            <v>0.10999999999999999</v>
          </cell>
          <cell r="J468">
            <v>2522.5225225225226</v>
          </cell>
          <cell r="K468">
            <v>277.47747747747735</v>
          </cell>
          <cell r="L468">
            <v>1261261.2612612613</v>
          </cell>
          <cell r="M468">
            <v>138738.7387387387</v>
          </cell>
          <cell r="O468" t="str">
            <v>*</v>
          </cell>
          <cell r="P468">
            <v>0</v>
          </cell>
          <cell r="Q468">
            <v>0</v>
          </cell>
          <cell r="R468">
            <v>0</v>
          </cell>
          <cell r="S468">
            <v>0</v>
          </cell>
          <cell r="T468">
            <v>1261261.2612612613</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1261261.2612612613</v>
          </cell>
          <cell r="AS468">
            <v>0</v>
          </cell>
        </row>
        <row r="469">
          <cell r="B469" t="str">
            <v>LOFT(31F)</v>
          </cell>
          <cell r="C469" t="str">
            <v>大堂面积</v>
          </cell>
          <cell r="D469" t="str">
            <v>m2</v>
          </cell>
          <cell r="E469">
            <v>0</v>
          </cell>
          <cell r="F469">
            <v>2802</v>
          </cell>
          <cell r="G469">
            <v>0</v>
          </cell>
          <cell r="H469">
            <v>0</v>
          </cell>
          <cell r="I469">
            <v>0.10999999999999999</v>
          </cell>
          <cell r="J469">
            <v>2524.3243243243246</v>
          </cell>
          <cell r="K469">
            <v>277.67567567567539</v>
          </cell>
          <cell r="L469">
            <v>0</v>
          </cell>
          <cell r="M469">
            <v>0</v>
          </cell>
          <cell r="O469" t="str">
            <v>*</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row>
        <row r="470">
          <cell r="B470" t="str">
            <v>1T2(31F)</v>
          </cell>
          <cell r="C470" t="str">
            <v>大堂面积</v>
          </cell>
          <cell r="D470" t="str">
            <v>m2</v>
          </cell>
          <cell r="E470">
            <v>0</v>
          </cell>
          <cell r="F470">
            <v>2803</v>
          </cell>
          <cell r="G470">
            <v>0</v>
          </cell>
          <cell r="H470">
            <v>0</v>
          </cell>
          <cell r="I470">
            <v>0.10999999999999999</v>
          </cell>
          <cell r="J470">
            <v>2525.2252252252256</v>
          </cell>
          <cell r="K470">
            <v>277.77477477477441</v>
          </cell>
          <cell r="L470">
            <v>0</v>
          </cell>
          <cell r="M470">
            <v>0</v>
          </cell>
          <cell r="O470" t="str">
            <v>*</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row>
        <row r="471">
          <cell r="B471" t="str">
            <v>1T8(32F)</v>
          </cell>
          <cell r="C471" t="str">
            <v>大堂面积</v>
          </cell>
          <cell r="D471" t="str">
            <v>m2</v>
          </cell>
          <cell r="E471">
            <v>0</v>
          </cell>
          <cell r="F471">
            <v>2804</v>
          </cell>
          <cell r="G471">
            <v>0</v>
          </cell>
          <cell r="H471">
            <v>0</v>
          </cell>
          <cell r="I471">
            <v>0.10999999999999999</v>
          </cell>
          <cell r="J471">
            <v>2526.1261261261266</v>
          </cell>
          <cell r="K471">
            <v>277.87387387387344</v>
          </cell>
          <cell r="L471">
            <v>0</v>
          </cell>
          <cell r="M471">
            <v>0</v>
          </cell>
          <cell r="O471" t="str">
            <v>*</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row>
        <row r="472">
          <cell r="B472" t="str">
            <v>中高层洋房</v>
          </cell>
          <cell r="C472" t="str">
            <v>大堂面积</v>
          </cell>
          <cell r="D472" t="str">
            <v>m2</v>
          </cell>
          <cell r="E472">
            <v>0</v>
          </cell>
          <cell r="F472">
            <v>2805</v>
          </cell>
          <cell r="G472">
            <v>0</v>
          </cell>
          <cell r="H472">
            <v>0</v>
          </cell>
          <cell r="I472">
            <v>0.10999999999999999</v>
          </cell>
          <cell r="J472">
            <v>2527.0270270270271</v>
          </cell>
          <cell r="K472">
            <v>277.97297297297291</v>
          </cell>
          <cell r="L472">
            <v>0</v>
          </cell>
          <cell r="M472">
            <v>0</v>
          </cell>
          <cell r="O472" t="str">
            <v>*</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row>
        <row r="473">
          <cell r="B473" t="str">
            <v>115高层洋房</v>
          </cell>
          <cell r="C473" t="str">
            <v>大堂面积</v>
          </cell>
          <cell r="D473" t="str">
            <v>m2</v>
          </cell>
          <cell r="E473">
            <v>0</v>
          </cell>
          <cell r="F473">
            <v>2806</v>
          </cell>
          <cell r="G473">
            <v>0</v>
          </cell>
          <cell r="H473">
            <v>0</v>
          </cell>
          <cell r="I473">
            <v>0.10999999999999999</v>
          </cell>
          <cell r="J473">
            <v>2527.9279279279281</v>
          </cell>
          <cell r="K473">
            <v>278.07207207207193</v>
          </cell>
          <cell r="L473">
            <v>0</v>
          </cell>
          <cell r="M473">
            <v>0</v>
          </cell>
          <cell r="N473" t="str">
            <v>根据最新图纸计算入户大堂装修面积约20平米每栋，1T2(215)共计13栋，计算出大堂面积为260m2，并考虑软装约1100元/m2，大堂装修档次定位较高，按照1700元/m2考虑。</v>
          </cell>
          <cell r="O473" t="str">
            <v>*</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row>
        <row r="474">
          <cell r="B474" t="str">
            <v>超高层洋房</v>
          </cell>
          <cell r="C474" t="str">
            <v>大堂面积</v>
          </cell>
          <cell r="D474" t="str">
            <v>m2</v>
          </cell>
          <cell r="E474">
            <v>0</v>
          </cell>
          <cell r="F474">
            <v>2807</v>
          </cell>
          <cell r="G474">
            <v>0</v>
          </cell>
          <cell r="H474">
            <v>0</v>
          </cell>
          <cell r="I474">
            <v>0.10999999999999999</v>
          </cell>
          <cell r="J474">
            <v>2528.828828828829</v>
          </cell>
          <cell r="K474">
            <v>278.17117117117095</v>
          </cell>
          <cell r="L474">
            <v>0</v>
          </cell>
          <cell r="M474">
            <v>0</v>
          </cell>
          <cell r="O474" t="str">
            <v>*</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row>
        <row r="475">
          <cell r="B475" t="str">
            <v>公寓</v>
          </cell>
          <cell r="C475" t="str">
            <v>大堂面积</v>
          </cell>
          <cell r="D475" t="str">
            <v>m2</v>
          </cell>
          <cell r="E475">
            <v>0</v>
          </cell>
          <cell r="F475">
            <v>2808</v>
          </cell>
          <cell r="G475">
            <v>0</v>
          </cell>
          <cell r="H475">
            <v>0</v>
          </cell>
          <cell r="I475">
            <v>0.10999999999999999</v>
          </cell>
          <cell r="J475">
            <v>2529.72972972973</v>
          </cell>
          <cell r="K475">
            <v>278.27027027026998</v>
          </cell>
          <cell r="L475">
            <v>0</v>
          </cell>
          <cell r="M475">
            <v>0</v>
          </cell>
          <cell r="O475" t="str">
            <v>*</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row>
        <row r="476">
          <cell r="B476" t="str">
            <v>底商</v>
          </cell>
          <cell r="C476" t="str">
            <v>大堂面积</v>
          </cell>
          <cell r="D476" t="str">
            <v>m2</v>
          </cell>
          <cell r="E476">
            <v>0</v>
          </cell>
          <cell r="F476">
            <v>0</v>
          </cell>
          <cell r="G476">
            <v>0</v>
          </cell>
          <cell r="H476">
            <v>0</v>
          </cell>
          <cell r="I476">
            <v>0.10999999999999999</v>
          </cell>
          <cell r="J476">
            <v>0</v>
          </cell>
          <cell r="K476">
            <v>0</v>
          </cell>
          <cell r="L476">
            <v>0</v>
          </cell>
          <cell r="M476">
            <v>0</v>
          </cell>
          <cell r="O476" t="str">
            <v>*</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row>
        <row r="477">
          <cell r="B477" t="str">
            <v>商业街</v>
          </cell>
          <cell r="C477" t="str">
            <v>大堂面积</v>
          </cell>
          <cell r="D477" t="str">
            <v>m2</v>
          </cell>
          <cell r="E477">
            <v>0</v>
          </cell>
          <cell r="F477">
            <v>0</v>
          </cell>
          <cell r="G477">
            <v>0</v>
          </cell>
          <cell r="H477">
            <v>0</v>
          </cell>
          <cell r="I477">
            <v>0.10999999999999999</v>
          </cell>
          <cell r="J477">
            <v>0</v>
          </cell>
          <cell r="K477">
            <v>0</v>
          </cell>
          <cell r="L477">
            <v>0</v>
          </cell>
          <cell r="M477">
            <v>0</v>
          </cell>
          <cell r="O477" t="str">
            <v>*</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row>
        <row r="478">
          <cell r="B478" t="str">
            <v>综合楼</v>
          </cell>
          <cell r="C478" t="str">
            <v>大堂面积</v>
          </cell>
          <cell r="D478" t="str">
            <v>m2</v>
          </cell>
          <cell r="E478">
            <v>0</v>
          </cell>
          <cell r="F478">
            <v>0</v>
          </cell>
          <cell r="G478">
            <v>0</v>
          </cell>
          <cell r="H478">
            <v>0</v>
          </cell>
          <cell r="I478">
            <v>0.10999999999999999</v>
          </cell>
          <cell r="J478">
            <v>0</v>
          </cell>
          <cell r="K478">
            <v>0</v>
          </cell>
          <cell r="L478">
            <v>0</v>
          </cell>
          <cell r="M478">
            <v>0</v>
          </cell>
          <cell r="O478" t="str">
            <v>*</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row>
        <row r="479">
          <cell r="B479" t="str">
            <v>写字楼</v>
          </cell>
          <cell r="C479" t="str">
            <v>大堂面积</v>
          </cell>
          <cell r="D479" t="str">
            <v>m2</v>
          </cell>
          <cell r="E479">
            <v>0</v>
          </cell>
          <cell r="F479">
            <v>0</v>
          </cell>
          <cell r="G479">
            <v>0</v>
          </cell>
          <cell r="H479">
            <v>0</v>
          </cell>
          <cell r="I479">
            <v>0.10999999999999999</v>
          </cell>
          <cell r="J479">
            <v>0</v>
          </cell>
          <cell r="K479">
            <v>0</v>
          </cell>
          <cell r="L479">
            <v>0</v>
          </cell>
          <cell r="M479">
            <v>0</v>
          </cell>
          <cell r="O479" t="str">
            <v>*</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row>
        <row r="480">
          <cell r="B480" t="str">
            <v>酒店</v>
          </cell>
          <cell r="C480" t="str">
            <v>大堂面积</v>
          </cell>
          <cell r="D480" t="str">
            <v>m2</v>
          </cell>
          <cell r="E480">
            <v>0</v>
          </cell>
          <cell r="F480">
            <v>0</v>
          </cell>
          <cell r="G480">
            <v>0</v>
          </cell>
          <cell r="H480">
            <v>0</v>
          </cell>
          <cell r="I480">
            <v>0.10999999999999999</v>
          </cell>
          <cell r="J480">
            <v>0</v>
          </cell>
          <cell r="K480">
            <v>0</v>
          </cell>
          <cell r="L480">
            <v>0</v>
          </cell>
          <cell r="M480">
            <v>0</v>
          </cell>
          <cell r="O480" t="str">
            <v>*</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row>
        <row r="481">
          <cell r="B481" t="str">
            <v>医院（自持）</v>
          </cell>
          <cell r="C481" t="str">
            <v>大堂面积</v>
          </cell>
          <cell r="D481" t="str">
            <v>m2</v>
          </cell>
          <cell r="E481">
            <v>0</v>
          </cell>
          <cell r="F481">
            <v>0</v>
          </cell>
          <cell r="G481">
            <v>0</v>
          </cell>
          <cell r="H481">
            <v>0</v>
          </cell>
          <cell r="I481">
            <v>0.10999999999999999</v>
          </cell>
          <cell r="J481">
            <v>0</v>
          </cell>
          <cell r="K481">
            <v>0</v>
          </cell>
          <cell r="L481">
            <v>0</v>
          </cell>
          <cell r="M481">
            <v>0</v>
          </cell>
          <cell r="O481" t="str">
            <v>*</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row>
        <row r="482">
          <cell r="B482" t="str">
            <v>地上计容车库</v>
          </cell>
          <cell r="C482" t="str">
            <v>大堂面积</v>
          </cell>
          <cell r="D482" t="str">
            <v>m2</v>
          </cell>
          <cell r="E482">
            <v>0</v>
          </cell>
          <cell r="F482">
            <v>0</v>
          </cell>
          <cell r="G482">
            <v>0</v>
          </cell>
          <cell r="H482">
            <v>0</v>
          </cell>
          <cell r="I482">
            <v>0.10999999999999999</v>
          </cell>
          <cell r="J482">
            <v>0</v>
          </cell>
          <cell r="K482">
            <v>0</v>
          </cell>
          <cell r="L482">
            <v>0</v>
          </cell>
          <cell r="M482">
            <v>0</v>
          </cell>
          <cell r="O482" t="str">
            <v>*</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row>
        <row r="483">
          <cell r="B483" t="str">
            <v>非人防地下室</v>
          </cell>
          <cell r="C483" t="str">
            <v>大堂面积</v>
          </cell>
          <cell r="D483" t="str">
            <v>m2</v>
          </cell>
          <cell r="E483">
            <v>0</v>
          </cell>
          <cell r="F483">
            <v>0</v>
          </cell>
          <cell r="G483">
            <v>0</v>
          </cell>
          <cell r="H483">
            <v>0</v>
          </cell>
          <cell r="I483">
            <v>0.10999999999999999</v>
          </cell>
          <cell r="J483">
            <v>0</v>
          </cell>
          <cell r="K483">
            <v>0</v>
          </cell>
          <cell r="L483">
            <v>0</v>
          </cell>
          <cell r="M483">
            <v>0</v>
          </cell>
          <cell r="O483" t="str">
            <v>*</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row>
        <row r="484">
          <cell r="B484" t="str">
            <v>人防地下室</v>
          </cell>
          <cell r="C484" t="str">
            <v>大堂面积</v>
          </cell>
          <cell r="D484" t="str">
            <v>m2</v>
          </cell>
          <cell r="E484">
            <v>0</v>
          </cell>
          <cell r="F484">
            <v>0</v>
          </cell>
          <cell r="G484">
            <v>0</v>
          </cell>
          <cell r="H484">
            <v>0</v>
          </cell>
          <cell r="I484">
            <v>0.10999999999999999</v>
          </cell>
          <cell r="J484">
            <v>0</v>
          </cell>
          <cell r="K484">
            <v>0</v>
          </cell>
          <cell r="L484">
            <v>0</v>
          </cell>
          <cell r="M484">
            <v>0</v>
          </cell>
          <cell r="O484" t="str">
            <v>*</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row>
        <row r="485">
          <cell r="B485" t="str">
            <v>独立会所（综合楼）</v>
          </cell>
          <cell r="C485" t="str">
            <v>大堂面积</v>
          </cell>
          <cell r="D485" t="str">
            <v>m2</v>
          </cell>
          <cell r="E485">
            <v>0</v>
          </cell>
          <cell r="F485">
            <v>0</v>
          </cell>
          <cell r="G485">
            <v>0</v>
          </cell>
          <cell r="H485">
            <v>0</v>
          </cell>
          <cell r="I485">
            <v>0.10999999999999999</v>
          </cell>
          <cell r="J485">
            <v>0</v>
          </cell>
          <cell r="K485">
            <v>0</v>
          </cell>
          <cell r="L485">
            <v>0</v>
          </cell>
          <cell r="M485">
            <v>0</v>
          </cell>
          <cell r="O485" t="str">
            <v>*</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row>
        <row r="486">
          <cell r="B486" t="str">
            <v>活动中心</v>
          </cell>
          <cell r="C486" t="str">
            <v>大堂面积</v>
          </cell>
          <cell r="D486" t="str">
            <v>m2</v>
          </cell>
          <cell r="E486">
            <v>0</v>
          </cell>
          <cell r="F486">
            <v>0</v>
          </cell>
          <cell r="G486">
            <v>0</v>
          </cell>
          <cell r="H486">
            <v>0</v>
          </cell>
          <cell r="I486">
            <v>0.10999999999999999</v>
          </cell>
          <cell r="J486">
            <v>0</v>
          </cell>
          <cell r="K486">
            <v>0</v>
          </cell>
          <cell r="L486">
            <v>0</v>
          </cell>
          <cell r="M486">
            <v>0</v>
          </cell>
          <cell r="O486" t="str">
            <v>*</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row>
        <row r="487">
          <cell r="B487" t="str">
            <v>商贸市场</v>
          </cell>
          <cell r="C487" t="str">
            <v>大堂面积</v>
          </cell>
          <cell r="D487" t="str">
            <v>m2</v>
          </cell>
          <cell r="E487">
            <v>0</v>
          </cell>
          <cell r="F487">
            <v>0</v>
          </cell>
          <cell r="G487">
            <v>0</v>
          </cell>
          <cell r="H487">
            <v>0</v>
          </cell>
          <cell r="I487">
            <v>0.10999999999999999</v>
          </cell>
          <cell r="J487">
            <v>0</v>
          </cell>
          <cell r="K487">
            <v>0</v>
          </cell>
          <cell r="L487">
            <v>0</v>
          </cell>
          <cell r="M487">
            <v>0</v>
          </cell>
          <cell r="O487" t="str">
            <v>*</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row>
        <row r="488">
          <cell r="B488" t="str">
            <v>医院</v>
          </cell>
          <cell r="C488" t="str">
            <v>大堂面积</v>
          </cell>
          <cell r="D488" t="str">
            <v>m2</v>
          </cell>
          <cell r="E488">
            <v>0</v>
          </cell>
          <cell r="F488">
            <v>0</v>
          </cell>
          <cell r="G488">
            <v>0</v>
          </cell>
          <cell r="H488">
            <v>0</v>
          </cell>
          <cell r="I488">
            <v>0.10999999999999999</v>
          </cell>
          <cell r="J488">
            <v>0</v>
          </cell>
          <cell r="K488">
            <v>0</v>
          </cell>
          <cell r="L488">
            <v>0</v>
          </cell>
          <cell r="M488">
            <v>0</v>
          </cell>
          <cell r="O488" t="str">
            <v>*</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row>
        <row r="489">
          <cell r="B489" t="str">
            <v>幼儿园</v>
          </cell>
          <cell r="C489" t="str">
            <v>大堂面积</v>
          </cell>
          <cell r="D489" t="str">
            <v>m2</v>
          </cell>
          <cell r="E489">
            <v>0</v>
          </cell>
          <cell r="F489">
            <v>0</v>
          </cell>
          <cell r="G489">
            <v>0</v>
          </cell>
          <cell r="H489">
            <v>0</v>
          </cell>
          <cell r="I489">
            <v>0.10999999999999999</v>
          </cell>
          <cell r="J489">
            <v>0</v>
          </cell>
          <cell r="K489">
            <v>0</v>
          </cell>
          <cell r="L489">
            <v>0</v>
          </cell>
          <cell r="M489">
            <v>0</v>
          </cell>
          <cell r="O489" t="str">
            <v>*</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row>
        <row r="490">
          <cell r="B490" t="str">
            <v>学校</v>
          </cell>
          <cell r="C490" t="str">
            <v>大堂面积</v>
          </cell>
          <cell r="D490" t="str">
            <v>m2</v>
          </cell>
          <cell r="E490">
            <v>0</v>
          </cell>
          <cell r="F490">
            <v>0</v>
          </cell>
          <cell r="G490">
            <v>0</v>
          </cell>
          <cell r="H490">
            <v>0</v>
          </cell>
          <cell r="I490">
            <v>0.10999999999999999</v>
          </cell>
          <cell r="J490">
            <v>0</v>
          </cell>
          <cell r="K490">
            <v>0</v>
          </cell>
          <cell r="L490">
            <v>0</v>
          </cell>
          <cell r="M490">
            <v>0</v>
          </cell>
          <cell r="O490" t="str">
            <v>*</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row>
        <row r="491">
          <cell r="B491" t="str">
            <v>员工宿舍</v>
          </cell>
          <cell r="C491" t="str">
            <v>大堂面积</v>
          </cell>
          <cell r="D491" t="str">
            <v>m2</v>
          </cell>
          <cell r="E491">
            <v>0</v>
          </cell>
          <cell r="F491">
            <v>0</v>
          </cell>
          <cell r="G491">
            <v>0</v>
          </cell>
          <cell r="H491">
            <v>0</v>
          </cell>
          <cell r="I491">
            <v>0.10999999999999999</v>
          </cell>
          <cell r="J491">
            <v>0</v>
          </cell>
          <cell r="K491">
            <v>0</v>
          </cell>
          <cell r="L491">
            <v>0</v>
          </cell>
          <cell r="M491">
            <v>0</v>
          </cell>
          <cell r="O491" t="str">
            <v>*</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row>
        <row r="492">
          <cell r="B492" t="str">
            <v>电梯间装修</v>
          </cell>
          <cell r="C492" t="str">
            <v>地上建筑面积</v>
          </cell>
          <cell r="D492" t="str">
            <v>m2</v>
          </cell>
          <cell r="E492">
            <v>154715.32</v>
          </cell>
          <cell r="F492">
            <v>43.936489016736033</v>
          </cell>
          <cell r="G492">
            <v>6797647.9579008007</v>
          </cell>
          <cell r="I492">
            <v>0.10999999999999995</v>
          </cell>
          <cell r="J492">
            <v>39.582422537600031</v>
          </cell>
          <cell r="K492">
            <v>4.3540664791360015</v>
          </cell>
          <cell r="L492">
            <v>6124007.169280001</v>
          </cell>
          <cell r="M492">
            <v>673640.78862079978</v>
          </cell>
          <cell r="P492">
            <v>0</v>
          </cell>
          <cell r="Q492">
            <v>0</v>
          </cell>
          <cell r="R492">
            <v>0</v>
          </cell>
          <cell r="S492">
            <v>4964217.5564800007</v>
          </cell>
          <cell r="T492">
            <v>1159789.6128000002</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6124007.169280001</v>
          </cell>
          <cell r="AS492">
            <v>0</v>
          </cell>
        </row>
        <row r="493">
          <cell r="B493">
            <v>100</v>
          </cell>
          <cell r="C493" t="str">
            <v>电梯间面积</v>
          </cell>
          <cell r="D493" t="str">
            <v>m2</v>
          </cell>
          <cell r="E493">
            <v>0</v>
          </cell>
          <cell r="F493">
            <v>0</v>
          </cell>
          <cell r="G493">
            <v>0</v>
          </cell>
          <cell r="H493">
            <v>0</v>
          </cell>
          <cell r="I493">
            <v>0.10999999999999999</v>
          </cell>
          <cell r="J493">
            <v>0</v>
          </cell>
          <cell r="K493">
            <v>0</v>
          </cell>
          <cell r="L493">
            <v>0</v>
          </cell>
          <cell r="M493">
            <v>0</v>
          </cell>
          <cell r="O493" t="str">
            <v>*</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row>
        <row r="494">
          <cell r="B494">
            <v>125</v>
          </cell>
          <cell r="C494" t="str">
            <v>电梯间面积</v>
          </cell>
          <cell r="D494" t="str">
            <v>m2</v>
          </cell>
          <cell r="E494">
            <v>0</v>
          </cell>
          <cell r="F494">
            <v>0</v>
          </cell>
          <cell r="G494">
            <v>0</v>
          </cell>
          <cell r="H494">
            <v>0</v>
          </cell>
          <cell r="I494">
            <v>0.10999999999999999</v>
          </cell>
          <cell r="J494">
            <v>0</v>
          </cell>
          <cell r="K494">
            <v>0</v>
          </cell>
          <cell r="L494">
            <v>0</v>
          </cell>
          <cell r="M494">
            <v>0</v>
          </cell>
          <cell r="O494" t="str">
            <v>*</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row>
        <row r="495">
          <cell r="B495">
            <v>150</v>
          </cell>
          <cell r="C495" t="str">
            <v>电梯间面积</v>
          </cell>
          <cell r="D495" t="str">
            <v>m2</v>
          </cell>
          <cell r="E495">
            <v>0</v>
          </cell>
          <cell r="F495">
            <v>0</v>
          </cell>
          <cell r="G495">
            <v>0</v>
          </cell>
          <cell r="H495">
            <v>0</v>
          </cell>
          <cell r="I495">
            <v>0.10999999999999999</v>
          </cell>
          <cell r="J495">
            <v>0</v>
          </cell>
          <cell r="K495">
            <v>0</v>
          </cell>
          <cell r="L495">
            <v>0</v>
          </cell>
          <cell r="M495">
            <v>0</v>
          </cell>
          <cell r="O495" t="str">
            <v>*</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row>
        <row r="496">
          <cell r="B496" t="str">
            <v>1T4(30F)</v>
          </cell>
          <cell r="C496" t="str">
            <v>电梯间面积</v>
          </cell>
          <cell r="D496" t="str">
            <v>m2</v>
          </cell>
          <cell r="E496">
            <v>6622.9344804000002</v>
          </cell>
          <cell r="F496">
            <v>832</v>
          </cell>
          <cell r="G496">
            <v>5510281.4876928004</v>
          </cell>
          <cell r="H496">
            <v>0</v>
          </cell>
          <cell r="I496">
            <v>0.10999999999999999</v>
          </cell>
          <cell r="J496">
            <v>749.54954954954962</v>
          </cell>
          <cell r="K496">
            <v>82.450450450450376</v>
          </cell>
          <cell r="L496">
            <v>4964217.5564800007</v>
          </cell>
          <cell r="M496">
            <v>546063.93121279962</v>
          </cell>
          <cell r="O496" t="str">
            <v>*</v>
          </cell>
          <cell r="P496">
            <v>0</v>
          </cell>
          <cell r="Q496">
            <v>0</v>
          </cell>
          <cell r="R496">
            <v>0</v>
          </cell>
          <cell r="S496">
            <v>4964217.5564800007</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4964217.5564800007</v>
          </cell>
          <cell r="AS496">
            <v>0</v>
          </cell>
        </row>
        <row r="497">
          <cell r="B497" t="str">
            <v>1T3(30F)</v>
          </cell>
          <cell r="C497" t="str">
            <v>电梯间面积</v>
          </cell>
          <cell r="D497" t="str">
            <v>m2</v>
          </cell>
          <cell r="E497">
            <v>1547.3154690000001</v>
          </cell>
          <cell r="F497">
            <v>832</v>
          </cell>
          <cell r="G497">
            <v>1287366.4702080002</v>
          </cell>
          <cell r="H497">
            <v>0</v>
          </cell>
          <cell r="I497">
            <v>0.10999999999999999</v>
          </cell>
          <cell r="J497">
            <v>749.54954954954962</v>
          </cell>
          <cell r="K497">
            <v>82.450450450450376</v>
          </cell>
          <cell r="L497">
            <v>1159789.6128000002</v>
          </cell>
          <cell r="M497">
            <v>127576.85740799992</v>
          </cell>
          <cell r="O497" t="str">
            <v>*</v>
          </cell>
          <cell r="P497">
            <v>0</v>
          </cell>
          <cell r="Q497">
            <v>0</v>
          </cell>
          <cell r="R497">
            <v>0</v>
          </cell>
          <cell r="S497">
            <v>0</v>
          </cell>
          <cell r="T497">
            <v>1159789.6128000002</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1159789.6128000002</v>
          </cell>
          <cell r="AS497">
            <v>0</v>
          </cell>
        </row>
        <row r="498">
          <cell r="B498" t="str">
            <v>LOFT(31F)</v>
          </cell>
          <cell r="C498" t="str">
            <v>电梯间面积</v>
          </cell>
          <cell r="D498" t="str">
            <v>m2</v>
          </cell>
          <cell r="E498">
            <v>0</v>
          </cell>
          <cell r="F498">
            <v>832</v>
          </cell>
          <cell r="G498">
            <v>0</v>
          </cell>
          <cell r="H498">
            <v>0</v>
          </cell>
          <cell r="I498">
            <v>0.10999999999999999</v>
          </cell>
          <cell r="J498">
            <v>749.54954954954962</v>
          </cell>
          <cell r="K498">
            <v>82.450450450450376</v>
          </cell>
          <cell r="L498">
            <v>0</v>
          </cell>
          <cell r="M498">
            <v>0</v>
          </cell>
          <cell r="O498" t="str">
            <v>*</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row>
        <row r="499">
          <cell r="B499" t="str">
            <v>1T2(31F)</v>
          </cell>
          <cell r="C499" t="str">
            <v>电梯间面积</v>
          </cell>
          <cell r="D499" t="str">
            <v>m2</v>
          </cell>
          <cell r="E499">
            <v>0</v>
          </cell>
          <cell r="F499">
            <v>832</v>
          </cell>
          <cell r="G499">
            <v>0</v>
          </cell>
          <cell r="H499">
            <v>0</v>
          </cell>
          <cell r="I499">
            <v>0.10999999999999999</v>
          </cell>
          <cell r="J499">
            <v>749.54954954954962</v>
          </cell>
          <cell r="K499">
            <v>82.450450450450376</v>
          </cell>
          <cell r="L499">
            <v>0</v>
          </cell>
          <cell r="M499">
            <v>0</v>
          </cell>
          <cell r="O499" t="str">
            <v>*</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row>
        <row r="500">
          <cell r="B500" t="str">
            <v>1T8(32F)</v>
          </cell>
          <cell r="C500" t="str">
            <v>电梯间面积</v>
          </cell>
          <cell r="D500" t="str">
            <v>m2</v>
          </cell>
          <cell r="E500">
            <v>0</v>
          </cell>
          <cell r="F500">
            <v>832</v>
          </cell>
          <cell r="G500">
            <v>0</v>
          </cell>
          <cell r="H500">
            <v>0</v>
          </cell>
          <cell r="I500">
            <v>0.10999999999999999</v>
          </cell>
          <cell r="J500">
            <v>749.54954954954962</v>
          </cell>
          <cell r="K500">
            <v>82.450450450450376</v>
          </cell>
          <cell r="L500">
            <v>0</v>
          </cell>
          <cell r="M500">
            <v>0</v>
          </cell>
          <cell r="O500" t="str">
            <v>*</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row>
        <row r="501">
          <cell r="B501" t="str">
            <v>中高层洋房</v>
          </cell>
          <cell r="C501" t="str">
            <v>电梯间面积</v>
          </cell>
          <cell r="D501" t="str">
            <v>m2</v>
          </cell>
          <cell r="E501">
            <v>0</v>
          </cell>
          <cell r="F501">
            <v>832</v>
          </cell>
          <cell r="G501">
            <v>0</v>
          </cell>
          <cell r="H501">
            <v>0</v>
          </cell>
          <cell r="I501">
            <v>0.10999999999999999</v>
          </cell>
          <cell r="J501">
            <v>749.54954954954962</v>
          </cell>
          <cell r="K501">
            <v>82.450450450450376</v>
          </cell>
          <cell r="L501">
            <v>0</v>
          </cell>
          <cell r="M501">
            <v>0</v>
          </cell>
          <cell r="O501" t="str">
            <v>*</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row>
        <row r="502">
          <cell r="B502" t="str">
            <v>115高层洋房</v>
          </cell>
          <cell r="C502" t="str">
            <v>电梯间面积</v>
          </cell>
          <cell r="D502" t="str">
            <v>m2</v>
          </cell>
          <cell r="E502">
            <v>0</v>
          </cell>
          <cell r="F502">
            <v>832</v>
          </cell>
          <cell r="G502">
            <v>0</v>
          </cell>
          <cell r="H502">
            <v>0</v>
          </cell>
          <cell r="I502">
            <v>0.10999999999999999</v>
          </cell>
          <cell r="J502">
            <v>749.54954954954962</v>
          </cell>
          <cell r="K502">
            <v>82.450450450450376</v>
          </cell>
          <cell r="L502">
            <v>0</v>
          </cell>
          <cell r="M502">
            <v>0</v>
          </cell>
          <cell r="N502" t="str">
            <v>根据图纸测算电梯间面积，单方按750元/m2考虑</v>
          </cell>
          <cell r="O502" t="str">
            <v>*</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row>
        <row r="503">
          <cell r="B503" t="str">
            <v>超高层洋房</v>
          </cell>
          <cell r="C503" t="str">
            <v>电梯间面积</v>
          </cell>
          <cell r="D503" t="str">
            <v>m2</v>
          </cell>
          <cell r="E503">
            <v>0</v>
          </cell>
          <cell r="F503">
            <v>832</v>
          </cell>
          <cell r="G503">
            <v>0</v>
          </cell>
          <cell r="H503">
            <v>0</v>
          </cell>
          <cell r="I503">
            <v>0.10999999999999999</v>
          </cell>
          <cell r="J503">
            <v>749.54954954954962</v>
          </cell>
          <cell r="K503">
            <v>82.450450450450376</v>
          </cell>
          <cell r="L503">
            <v>0</v>
          </cell>
          <cell r="M503">
            <v>0</v>
          </cell>
          <cell r="O503" t="str">
            <v>*</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row>
        <row r="504">
          <cell r="B504" t="str">
            <v>公寓</v>
          </cell>
          <cell r="C504" t="str">
            <v>电梯间面积</v>
          </cell>
          <cell r="D504" t="str">
            <v>m2</v>
          </cell>
          <cell r="E504">
            <v>0</v>
          </cell>
          <cell r="F504">
            <v>832</v>
          </cell>
          <cell r="G504">
            <v>0</v>
          </cell>
          <cell r="H504">
            <v>0</v>
          </cell>
          <cell r="I504">
            <v>0.10999999999999999</v>
          </cell>
          <cell r="J504">
            <v>749.54954954954962</v>
          </cell>
          <cell r="K504">
            <v>82.450450450450376</v>
          </cell>
          <cell r="L504">
            <v>0</v>
          </cell>
          <cell r="M504">
            <v>0</v>
          </cell>
          <cell r="O504" t="str">
            <v>*</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row>
        <row r="505">
          <cell r="B505" t="str">
            <v>底商</v>
          </cell>
          <cell r="C505" t="str">
            <v>电梯间面积</v>
          </cell>
          <cell r="D505" t="str">
            <v>m2</v>
          </cell>
          <cell r="E505">
            <v>0</v>
          </cell>
          <cell r="F505">
            <v>0</v>
          </cell>
          <cell r="G505">
            <v>0</v>
          </cell>
          <cell r="H505">
            <v>0</v>
          </cell>
          <cell r="I505">
            <v>0.10999999999999999</v>
          </cell>
          <cell r="J505">
            <v>0</v>
          </cell>
          <cell r="K505">
            <v>0</v>
          </cell>
          <cell r="L505">
            <v>0</v>
          </cell>
          <cell r="M505">
            <v>0</v>
          </cell>
          <cell r="O505" t="str">
            <v>*</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row>
        <row r="506">
          <cell r="B506" t="str">
            <v>商业街</v>
          </cell>
          <cell r="C506" t="str">
            <v>电梯间面积</v>
          </cell>
          <cell r="D506" t="str">
            <v>m2</v>
          </cell>
          <cell r="E506">
            <v>0</v>
          </cell>
          <cell r="F506">
            <v>0</v>
          </cell>
          <cell r="G506">
            <v>0</v>
          </cell>
          <cell r="H506">
            <v>0</v>
          </cell>
          <cell r="I506">
            <v>0.10999999999999999</v>
          </cell>
          <cell r="J506">
            <v>0</v>
          </cell>
          <cell r="K506">
            <v>0</v>
          </cell>
          <cell r="L506">
            <v>0</v>
          </cell>
          <cell r="M506">
            <v>0</v>
          </cell>
          <cell r="O506" t="str">
            <v>*</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row>
        <row r="507">
          <cell r="B507" t="str">
            <v>综合楼</v>
          </cell>
          <cell r="C507" t="str">
            <v>电梯间面积</v>
          </cell>
          <cell r="D507" t="str">
            <v>m2</v>
          </cell>
          <cell r="E507">
            <v>0</v>
          </cell>
          <cell r="F507">
            <v>0</v>
          </cell>
          <cell r="G507">
            <v>0</v>
          </cell>
          <cell r="H507">
            <v>0</v>
          </cell>
          <cell r="I507">
            <v>0.10999999999999999</v>
          </cell>
          <cell r="J507">
            <v>0</v>
          </cell>
          <cell r="K507">
            <v>0</v>
          </cell>
          <cell r="L507">
            <v>0</v>
          </cell>
          <cell r="M507">
            <v>0</v>
          </cell>
          <cell r="O507" t="str">
            <v>*</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row>
        <row r="508">
          <cell r="B508" t="str">
            <v>写字楼</v>
          </cell>
          <cell r="C508" t="str">
            <v>电梯间面积</v>
          </cell>
          <cell r="D508" t="str">
            <v>m2</v>
          </cell>
          <cell r="E508">
            <v>0</v>
          </cell>
          <cell r="F508">
            <v>0</v>
          </cell>
          <cell r="G508">
            <v>0</v>
          </cell>
          <cell r="H508">
            <v>0</v>
          </cell>
          <cell r="I508">
            <v>0.10999999999999999</v>
          </cell>
          <cell r="J508">
            <v>0</v>
          </cell>
          <cell r="K508">
            <v>0</v>
          </cell>
          <cell r="L508">
            <v>0</v>
          </cell>
          <cell r="M508">
            <v>0</v>
          </cell>
          <cell r="O508" t="str">
            <v>*</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row>
        <row r="509">
          <cell r="B509" t="str">
            <v>酒店</v>
          </cell>
          <cell r="C509" t="str">
            <v>电梯间面积</v>
          </cell>
          <cell r="D509" t="str">
            <v>m2</v>
          </cell>
          <cell r="E509">
            <v>0</v>
          </cell>
          <cell r="F509">
            <v>0</v>
          </cell>
          <cell r="G509">
            <v>0</v>
          </cell>
          <cell r="H509">
            <v>0</v>
          </cell>
          <cell r="I509">
            <v>0.10999999999999999</v>
          </cell>
          <cell r="J509">
            <v>0</v>
          </cell>
          <cell r="K509">
            <v>0</v>
          </cell>
          <cell r="L509">
            <v>0</v>
          </cell>
          <cell r="M509">
            <v>0</v>
          </cell>
          <cell r="O509" t="str">
            <v>*</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row>
        <row r="510">
          <cell r="B510" t="str">
            <v>医院（自持）</v>
          </cell>
          <cell r="C510" t="str">
            <v>电梯间面积</v>
          </cell>
          <cell r="D510" t="str">
            <v>m2</v>
          </cell>
          <cell r="E510">
            <v>0</v>
          </cell>
          <cell r="F510">
            <v>0</v>
          </cell>
          <cell r="G510">
            <v>0</v>
          </cell>
          <cell r="H510">
            <v>0</v>
          </cell>
          <cell r="I510">
            <v>0.10999999999999999</v>
          </cell>
          <cell r="J510">
            <v>0</v>
          </cell>
          <cell r="K510">
            <v>0</v>
          </cell>
          <cell r="L510">
            <v>0</v>
          </cell>
          <cell r="M510">
            <v>0</v>
          </cell>
          <cell r="O510" t="str">
            <v>*</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row>
        <row r="511">
          <cell r="B511" t="str">
            <v>地上计容车库</v>
          </cell>
          <cell r="C511" t="str">
            <v>电梯间面积</v>
          </cell>
          <cell r="D511" t="str">
            <v>m2</v>
          </cell>
          <cell r="E511">
            <v>0</v>
          </cell>
          <cell r="F511">
            <v>0</v>
          </cell>
          <cell r="G511">
            <v>0</v>
          </cell>
          <cell r="H511">
            <v>0</v>
          </cell>
          <cell r="I511">
            <v>0.10999999999999999</v>
          </cell>
          <cell r="J511">
            <v>0</v>
          </cell>
          <cell r="K511">
            <v>0</v>
          </cell>
          <cell r="L511">
            <v>0</v>
          </cell>
          <cell r="M511">
            <v>0</v>
          </cell>
          <cell r="O511" t="str">
            <v>*</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row>
        <row r="512">
          <cell r="B512" t="str">
            <v>非人防地下室</v>
          </cell>
          <cell r="C512" t="str">
            <v>电梯间面积</v>
          </cell>
          <cell r="D512" t="str">
            <v>m2</v>
          </cell>
          <cell r="E512">
            <v>0</v>
          </cell>
          <cell r="F512">
            <v>0</v>
          </cell>
          <cell r="G512">
            <v>0</v>
          </cell>
          <cell r="H512">
            <v>0</v>
          </cell>
          <cell r="I512">
            <v>0.10999999999999999</v>
          </cell>
          <cell r="J512">
            <v>0</v>
          </cell>
          <cell r="K512">
            <v>0</v>
          </cell>
          <cell r="L512">
            <v>0</v>
          </cell>
          <cell r="M512">
            <v>0</v>
          </cell>
          <cell r="O512" t="str">
            <v>*</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row>
        <row r="513">
          <cell r="B513" t="str">
            <v>人防地下室</v>
          </cell>
          <cell r="C513" t="str">
            <v>电梯间面积</v>
          </cell>
          <cell r="D513" t="str">
            <v>m2</v>
          </cell>
          <cell r="E513">
            <v>0</v>
          </cell>
          <cell r="F513">
            <v>0</v>
          </cell>
          <cell r="G513">
            <v>0</v>
          </cell>
          <cell r="H513">
            <v>0</v>
          </cell>
          <cell r="I513">
            <v>0.10999999999999999</v>
          </cell>
          <cell r="J513">
            <v>0</v>
          </cell>
          <cell r="K513">
            <v>0</v>
          </cell>
          <cell r="L513">
            <v>0</v>
          </cell>
          <cell r="M513">
            <v>0</v>
          </cell>
          <cell r="O513" t="str">
            <v>*</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row>
        <row r="514">
          <cell r="B514" t="str">
            <v>独立会所（综合楼）</v>
          </cell>
          <cell r="C514" t="str">
            <v>电梯间面积</v>
          </cell>
          <cell r="D514" t="str">
            <v>m2</v>
          </cell>
          <cell r="E514">
            <v>0</v>
          </cell>
          <cell r="F514">
            <v>0</v>
          </cell>
          <cell r="G514">
            <v>0</v>
          </cell>
          <cell r="H514">
            <v>0</v>
          </cell>
          <cell r="I514">
            <v>0.10999999999999999</v>
          </cell>
          <cell r="J514">
            <v>0</v>
          </cell>
          <cell r="K514">
            <v>0</v>
          </cell>
          <cell r="L514">
            <v>0</v>
          </cell>
          <cell r="M514">
            <v>0</v>
          </cell>
          <cell r="O514" t="str">
            <v>*</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row>
        <row r="515">
          <cell r="B515" t="str">
            <v>活动中心</v>
          </cell>
          <cell r="C515" t="str">
            <v>电梯间面积</v>
          </cell>
          <cell r="D515" t="str">
            <v>m2</v>
          </cell>
          <cell r="E515">
            <v>0</v>
          </cell>
          <cell r="F515">
            <v>0</v>
          </cell>
          <cell r="G515">
            <v>0</v>
          </cell>
          <cell r="H515">
            <v>0</v>
          </cell>
          <cell r="I515">
            <v>0.10999999999999999</v>
          </cell>
          <cell r="J515">
            <v>0</v>
          </cell>
          <cell r="K515">
            <v>0</v>
          </cell>
          <cell r="L515">
            <v>0</v>
          </cell>
          <cell r="M515">
            <v>0</v>
          </cell>
          <cell r="O515" t="str">
            <v>*</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row>
        <row r="516">
          <cell r="B516" t="str">
            <v>商贸市场</v>
          </cell>
          <cell r="C516" t="str">
            <v>电梯间面积</v>
          </cell>
          <cell r="D516" t="str">
            <v>m2</v>
          </cell>
          <cell r="E516">
            <v>0</v>
          </cell>
          <cell r="F516">
            <v>0</v>
          </cell>
          <cell r="G516">
            <v>0</v>
          </cell>
          <cell r="H516">
            <v>0</v>
          </cell>
          <cell r="I516">
            <v>0.10999999999999999</v>
          </cell>
          <cell r="J516">
            <v>0</v>
          </cell>
          <cell r="K516">
            <v>0</v>
          </cell>
          <cell r="L516">
            <v>0</v>
          </cell>
          <cell r="M516">
            <v>0</v>
          </cell>
          <cell r="O516" t="str">
            <v>*</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row>
        <row r="517">
          <cell r="B517" t="str">
            <v>医院</v>
          </cell>
          <cell r="C517" t="str">
            <v>电梯间面积</v>
          </cell>
          <cell r="D517" t="str">
            <v>m2</v>
          </cell>
          <cell r="E517">
            <v>0</v>
          </cell>
          <cell r="F517">
            <v>0</v>
          </cell>
          <cell r="G517">
            <v>0</v>
          </cell>
          <cell r="H517">
            <v>0</v>
          </cell>
          <cell r="I517">
            <v>0.10999999999999999</v>
          </cell>
          <cell r="J517">
            <v>0</v>
          </cell>
          <cell r="K517">
            <v>0</v>
          </cell>
          <cell r="L517">
            <v>0</v>
          </cell>
          <cell r="M517">
            <v>0</v>
          </cell>
          <cell r="O517" t="str">
            <v>*</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row>
        <row r="518">
          <cell r="B518" t="str">
            <v>幼儿园</v>
          </cell>
          <cell r="C518" t="str">
            <v>电梯间面积</v>
          </cell>
          <cell r="D518" t="str">
            <v>m2</v>
          </cell>
          <cell r="E518">
            <v>0</v>
          </cell>
          <cell r="F518">
            <v>0</v>
          </cell>
          <cell r="G518">
            <v>0</v>
          </cell>
          <cell r="H518">
            <v>0</v>
          </cell>
          <cell r="I518">
            <v>0.10999999999999999</v>
          </cell>
          <cell r="J518">
            <v>0</v>
          </cell>
          <cell r="K518">
            <v>0</v>
          </cell>
          <cell r="L518">
            <v>0</v>
          </cell>
          <cell r="M518">
            <v>0</v>
          </cell>
          <cell r="O518" t="str">
            <v>*</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row>
        <row r="519">
          <cell r="B519" t="str">
            <v>学校</v>
          </cell>
          <cell r="C519" t="str">
            <v>电梯间面积</v>
          </cell>
          <cell r="D519" t="str">
            <v>m2</v>
          </cell>
          <cell r="E519">
            <v>0</v>
          </cell>
          <cell r="F519">
            <v>0</v>
          </cell>
          <cell r="G519">
            <v>0</v>
          </cell>
          <cell r="H519">
            <v>0</v>
          </cell>
          <cell r="I519">
            <v>0.10999999999999999</v>
          </cell>
          <cell r="J519">
            <v>0</v>
          </cell>
          <cell r="K519">
            <v>0</v>
          </cell>
          <cell r="L519">
            <v>0</v>
          </cell>
          <cell r="M519">
            <v>0</v>
          </cell>
          <cell r="O519" t="str">
            <v>*</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row>
        <row r="520">
          <cell r="B520" t="str">
            <v>员工宿舍</v>
          </cell>
          <cell r="C520" t="str">
            <v>电梯间面积</v>
          </cell>
          <cell r="D520" t="str">
            <v>m2</v>
          </cell>
          <cell r="E520">
            <v>0</v>
          </cell>
          <cell r="F520">
            <v>0</v>
          </cell>
          <cell r="G520">
            <v>0</v>
          </cell>
          <cell r="H520">
            <v>0</v>
          </cell>
          <cell r="I520">
            <v>0.10999999999999999</v>
          </cell>
          <cell r="J520">
            <v>0</v>
          </cell>
          <cell r="K520">
            <v>0</v>
          </cell>
          <cell r="L520">
            <v>0</v>
          </cell>
          <cell r="M520">
            <v>0</v>
          </cell>
          <cell r="O520" t="str">
            <v>*</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row>
        <row r="521">
          <cell r="B521" t="str">
            <v>电梯轿箱装修</v>
          </cell>
          <cell r="C521" t="str">
            <v>地上建筑面积</v>
          </cell>
          <cell r="D521" t="str">
            <v>m2</v>
          </cell>
          <cell r="E521">
            <v>154715.32</v>
          </cell>
          <cell r="F521">
            <v>0</v>
          </cell>
          <cell r="G521">
            <v>0</v>
          </cell>
          <cell r="I521">
            <v>0</v>
          </cell>
          <cell r="J521">
            <v>0</v>
          </cell>
          <cell r="K521">
            <v>0</v>
          </cell>
          <cell r="L521">
            <v>0</v>
          </cell>
          <cell r="M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row>
        <row r="522">
          <cell r="B522">
            <v>100</v>
          </cell>
          <cell r="C522" t="str">
            <v>电梯台数</v>
          </cell>
          <cell r="D522" t="str">
            <v>台</v>
          </cell>
          <cell r="E522">
            <v>0</v>
          </cell>
          <cell r="F522">
            <v>0</v>
          </cell>
          <cell r="G522">
            <v>0</v>
          </cell>
          <cell r="H522">
            <v>0</v>
          </cell>
          <cell r="I522">
            <v>0.10999999999999999</v>
          </cell>
          <cell r="J522">
            <v>0</v>
          </cell>
          <cell r="K522">
            <v>0</v>
          </cell>
          <cell r="L522">
            <v>0</v>
          </cell>
          <cell r="M522">
            <v>0</v>
          </cell>
          <cell r="O522" t="str">
            <v>*</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row>
        <row r="523">
          <cell r="B523">
            <v>125</v>
          </cell>
          <cell r="C523" t="str">
            <v>电梯台数</v>
          </cell>
          <cell r="D523" t="str">
            <v>台</v>
          </cell>
          <cell r="E523">
            <v>0</v>
          </cell>
          <cell r="F523">
            <v>0</v>
          </cell>
          <cell r="G523">
            <v>0</v>
          </cell>
          <cell r="H523">
            <v>0</v>
          </cell>
          <cell r="I523">
            <v>0.10999999999999999</v>
          </cell>
          <cell r="J523">
            <v>0</v>
          </cell>
          <cell r="K523">
            <v>0</v>
          </cell>
          <cell r="L523">
            <v>0</v>
          </cell>
          <cell r="M523">
            <v>0</v>
          </cell>
          <cell r="O523" t="str">
            <v>*</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row>
        <row r="524">
          <cell r="B524">
            <v>150</v>
          </cell>
          <cell r="C524" t="str">
            <v>电梯台数</v>
          </cell>
          <cell r="D524" t="str">
            <v>台</v>
          </cell>
          <cell r="E524">
            <v>0</v>
          </cell>
          <cell r="F524">
            <v>0</v>
          </cell>
          <cell r="G524">
            <v>0</v>
          </cell>
          <cell r="H524">
            <v>0</v>
          </cell>
          <cell r="I524">
            <v>0.10999999999999999</v>
          </cell>
          <cell r="J524">
            <v>0</v>
          </cell>
          <cell r="K524">
            <v>0</v>
          </cell>
          <cell r="L524">
            <v>0</v>
          </cell>
          <cell r="M524">
            <v>0</v>
          </cell>
          <cell r="O524" t="str">
            <v>*</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row>
        <row r="525">
          <cell r="B525" t="str">
            <v>1T4(30F)</v>
          </cell>
          <cell r="C525" t="str">
            <v>电梯台数</v>
          </cell>
          <cell r="D525" t="str">
            <v>台</v>
          </cell>
          <cell r="E525">
            <v>50</v>
          </cell>
          <cell r="F525">
            <v>0</v>
          </cell>
          <cell r="G525">
            <v>0</v>
          </cell>
          <cell r="H525">
            <v>0</v>
          </cell>
          <cell r="I525">
            <v>0.10999999999999999</v>
          </cell>
          <cell r="J525">
            <v>0</v>
          </cell>
          <cell r="K525">
            <v>0</v>
          </cell>
          <cell r="L525">
            <v>0</v>
          </cell>
          <cell r="M525">
            <v>0</v>
          </cell>
          <cell r="O525" t="str">
            <v>*</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row>
        <row r="526">
          <cell r="B526" t="str">
            <v>1T3(30F)</v>
          </cell>
          <cell r="C526" t="str">
            <v>电梯台数</v>
          </cell>
          <cell r="D526" t="str">
            <v>台</v>
          </cell>
          <cell r="E526">
            <v>0</v>
          </cell>
          <cell r="F526">
            <v>0</v>
          </cell>
          <cell r="G526">
            <v>0</v>
          </cell>
          <cell r="H526">
            <v>0</v>
          </cell>
          <cell r="I526">
            <v>0.10999999999999999</v>
          </cell>
          <cell r="J526">
            <v>0</v>
          </cell>
          <cell r="K526">
            <v>0</v>
          </cell>
          <cell r="L526">
            <v>0</v>
          </cell>
          <cell r="M526">
            <v>0</v>
          </cell>
          <cell r="O526" t="str">
            <v>*</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row>
        <row r="527">
          <cell r="B527" t="str">
            <v>LOFT(31F)</v>
          </cell>
          <cell r="C527" t="str">
            <v>电梯台数</v>
          </cell>
          <cell r="D527" t="str">
            <v>台</v>
          </cell>
          <cell r="E527">
            <v>0</v>
          </cell>
          <cell r="F527">
            <v>0</v>
          </cell>
          <cell r="G527">
            <v>0</v>
          </cell>
          <cell r="H527">
            <v>0</v>
          </cell>
          <cell r="I527">
            <v>0.10999999999999999</v>
          </cell>
          <cell r="J527">
            <v>0</v>
          </cell>
          <cell r="K527">
            <v>0</v>
          </cell>
          <cell r="L527">
            <v>0</v>
          </cell>
          <cell r="M527">
            <v>0</v>
          </cell>
          <cell r="O527" t="str">
            <v>*</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row>
        <row r="528">
          <cell r="B528" t="str">
            <v>1T2(31F)</v>
          </cell>
          <cell r="C528" t="str">
            <v>电梯台数</v>
          </cell>
          <cell r="D528" t="str">
            <v>台</v>
          </cell>
          <cell r="E528">
            <v>0</v>
          </cell>
          <cell r="F528">
            <v>0</v>
          </cell>
          <cell r="G528">
            <v>0</v>
          </cell>
          <cell r="H528">
            <v>0</v>
          </cell>
          <cell r="I528">
            <v>0.10999999999999999</v>
          </cell>
          <cell r="J528">
            <v>0</v>
          </cell>
          <cell r="K528">
            <v>0</v>
          </cell>
          <cell r="L528">
            <v>0</v>
          </cell>
          <cell r="M528">
            <v>0</v>
          </cell>
          <cell r="O528" t="str">
            <v>*</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row>
        <row r="529">
          <cell r="B529" t="str">
            <v>1T8(32F)</v>
          </cell>
          <cell r="C529" t="str">
            <v>电梯台数</v>
          </cell>
          <cell r="D529" t="str">
            <v>台</v>
          </cell>
          <cell r="E529">
            <v>0</v>
          </cell>
          <cell r="F529">
            <v>0</v>
          </cell>
          <cell r="G529">
            <v>0</v>
          </cell>
          <cell r="H529">
            <v>0</v>
          </cell>
          <cell r="I529">
            <v>0.10999999999999999</v>
          </cell>
          <cell r="J529">
            <v>0</v>
          </cell>
          <cell r="K529">
            <v>0</v>
          </cell>
          <cell r="L529">
            <v>0</v>
          </cell>
          <cell r="M529">
            <v>0</v>
          </cell>
          <cell r="O529" t="str">
            <v>*</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row>
        <row r="530">
          <cell r="B530" t="str">
            <v>中高层洋房</v>
          </cell>
          <cell r="C530" t="str">
            <v>电梯台数</v>
          </cell>
          <cell r="D530" t="str">
            <v>台</v>
          </cell>
          <cell r="E530">
            <v>0</v>
          </cell>
          <cell r="F530">
            <v>0</v>
          </cell>
          <cell r="G530">
            <v>0</v>
          </cell>
          <cell r="H530">
            <v>0</v>
          </cell>
          <cell r="I530">
            <v>0.10999999999999999</v>
          </cell>
          <cell r="J530">
            <v>0</v>
          </cell>
          <cell r="K530">
            <v>0</v>
          </cell>
          <cell r="L530">
            <v>0</v>
          </cell>
          <cell r="M530">
            <v>0</v>
          </cell>
          <cell r="O530" t="str">
            <v>*</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row>
        <row r="531">
          <cell r="B531" t="str">
            <v>115高层洋房</v>
          </cell>
          <cell r="C531" t="str">
            <v>电梯台数</v>
          </cell>
          <cell r="D531" t="str">
            <v>台</v>
          </cell>
          <cell r="E531">
            <v>0</v>
          </cell>
          <cell r="F531">
            <v>0</v>
          </cell>
          <cell r="G531">
            <v>0</v>
          </cell>
          <cell r="H531">
            <v>0</v>
          </cell>
          <cell r="I531">
            <v>0.10999999999999999</v>
          </cell>
          <cell r="J531">
            <v>0</v>
          </cell>
          <cell r="K531">
            <v>0</v>
          </cell>
          <cell r="L531">
            <v>0</v>
          </cell>
          <cell r="M531">
            <v>0</v>
          </cell>
          <cell r="O531" t="str">
            <v>*</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row>
        <row r="532">
          <cell r="B532" t="str">
            <v>超高层洋房</v>
          </cell>
          <cell r="C532" t="str">
            <v>电梯台数</v>
          </cell>
          <cell r="D532" t="str">
            <v>台</v>
          </cell>
          <cell r="E532">
            <v>0</v>
          </cell>
          <cell r="F532">
            <v>0</v>
          </cell>
          <cell r="G532">
            <v>0</v>
          </cell>
          <cell r="H532">
            <v>0</v>
          </cell>
          <cell r="I532">
            <v>0.10999999999999999</v>
          </cell>
          <cell r="J532">
            <v>0</v>
          </cell>
          <cell r="K532">
            <v>0</v>
          </cell>
          <cell r="L532">
            <v>0</v>
          </cell>
          <cell r="M532">
            <v>0</v>
          </cell>
          <cell r="O532" t="str">
            <v>*</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row>
        <row r="533">
          <cell r="B533" t="str">
            <v>公寓</v>
          </cell>
          <cell r="C533" t="str">
            <v>电梯台数</v>
          </cell>
          <cell r="D533" t="str">
            <v>台</v>
          </cell>
          <cell r="E533">
            <v>0</v>
          </cell>
          <cell r="F533">
            <v>0</v>
          </cell>
          <cell r="G533">
            <v>0</v>
          </cell>
          <cell r="H533">
            <v>0</v>
          </cell>
          <cell r="I533">
            <v>0.10999999999999999</v>
          </cell>
          <cell r="J533">
            <v>0</v>
          </cell>
          <cell r="K533">
            <v>0</v>
          </cell>
          <cell r="L533">
            <v>0</v>
          </cell>
          <cell r="M533">
            <v>0</v>
          </cell>
          <cell r="O533" t="str">
            <v>*</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row>
        <row r="534">
          <cell r="B534" t="str">
            <v>底商</v>
          </cell>
          <cell r="C534" t="str">
            <v>电梯台数</v>
          </cell>
          <cell r="D534" t="str">
            <v>台</v>
          </cell>
          <cell r="E534">
            <v>0</v>
          </cell>
          <cell r="F534">
            <v>0</v>
          </cell>
          <cell r="G534">
            <v>0</v>
          </cell>
          <cell r="H534">
            <v>0</v>
          </cell>
          <cell r="I534">
            <v>0.10999999999999999</v>
          </cell>
          <cell r="J534">
            <v>0</v>
          </cell>
          <cell r="K534">
            <v>0</v>
          </cell>
          <cell r="L534">
            <v>0</v>
          </cell>
          <cell r="M534">
            <v>0</v>
          </cell>
          <cell r="O534" t="str">
            <v>*</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row>
        <row r="535">
          <cell r="B535" t="str">
            <v>商业街</v>
          </cell>
          <cell r="C535" t="str">
            <v>电梯台数</v>
          </cell>
          <cell r="D535" t="str">
            <v>台</v>
          </cell>
          <cell r="E535">
            <v>0</v>
          </cell>
          <cell r="F535">
            <v>0</v>
          </cell>
          <cell r="G535">
            <v>0</v>
          </cell>
          <cell r="H535">
            <v>0</v>
          </cell>
          <cell r="I535">
            <v>0.10999999999999999</v>
          </cell>
          <cell r="J535">
            <v>0</v>
          </cell>
          <cell r="K535">
            <v>0</v>
          </cell>
          <cell r="L535">
            <v>0</v>
          </cell>
          <cell r="M535">
            <v>0</v>
          </cell>
          <cell r="O535" t="str">
            <v>*</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row>
        <row r="536">
          <cell r="B536" t="str">
            <v>综合楼</v>
          </cell>
          <cell r="C536" t="str">
            <v>电梯台数</v>
          </cell>
          <cell r="D536" t="str">
            <v>台</v>
          </cell>
          <cell r="E536">
            <v>0</v>
          </cell>
          <cell r="F536">
            <v>0</v>
          </cell>
          <cell r="G536">
            <v>0</v>
          </cell>
          <cell r="H536">
            <v>0</v>
          </cell>
          <cell r="I536">
            <v>0.10999999999999999</v>
          </cell>
          <cell r="J536">
            <v>0</v>
          </cell>
          <cell r="K536">
            <v>0</v>
          </cell>
          <cell r="L536">
            <v>0</v>
          </cell>
          <cell r="M536">
            <v>0</v>
          </cell>
          <cell r="O536" t="str">
            <v>*</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row>
        <row r="537">
          <cell r="B537" t="str">
            <v>写字楼</v>
          </cell>
          <cell r="C537" t="str">
            <v>电梯台数</v>
          </cell>
          <cell r="D537" t="str">
            <v>台</v>
          </cell>
          <cell r="E537">
            <v>0</v>
          </cell>
          <cell r="F537">
            <v>0</v>
          </cell>
          <cell r="G537">
            <v>0</v>
          </cell>
          <cell r="H537">
            <v>0</v>
          </cell>
          <cell r="I537">
            <v>0.10999999999999999</v>
          </cell>
          <cell r="J537">
            <v>0</v>
          </cell>
          <cell r="K537">
            <v>0</v>
          </cell>
          <cell r="L537">
            <v>0</v>
          </cell>
          <cell r="M537">
            <v>0</v>
          </cell>
          <cell r="O537" t="str">
            <v>*</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row>
        <row r="538">
          <cell r="B538" t="str">
            <v>酒店</v>
          </cell>
          <cell r="C538" t="str">
            <v>电梯台数</v>
          </cell>
          <cell r="D538" t="str">
            <v>台</v>
          </cell>
          <cell r="E538">
            <v>0</v>
          </cell>
          <cell r="F538">
            <v>0</v>
          </cell>
          <cell r="G538">
            <v>0</v>
          </cell>
          <cell r="H538">
            <v>0</v>
          </cell>
          <cell r="I538">
            <v>0.10999999999999999</v>
          </cell>
          <cell r="J538">
            <v>0</v>
          </cell>
          <cell r="K538">
            <v>0</v>
          </cell>
          <cell r="L538">
            <v>0</v>
          </cell>
          <cell r="M538">
            <v>0</v>
          </cell>
          <cell r="O538" t="str">
            <v>*</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row>
        <row r="539">
          <cell r="B539" t="str">
            <v>医院（自持）</v>
          </cell>
          <cell r="C539" t="str">
            <v>电梯台数</v>
          </cell>
          <cell r="D539" t="str">
            <v>台</v>
          </cell>
          <cell r="E539">
            <v>0</v>
          </cell>
          <cell r="F539">
            <v>0</v>
          </cell>
          <cell r="G539">
            <v>0</v>
          </cell>
          <cell r="H539">
            <v>0</v>
          </cell>
          <cell r="I539">
            <v>0.10999999999999999</v>
          </cell>
          <cell r="J539">
            <v>0</v>
          </cell>
          <cell r="K539">
            <v>0</v>
          </cell>
          <cell r="L539">
            <v>0</v>
          </cell>
          <cell r="M539">
            <v>0</v>
          </cell>
          <cell r="O539" t="str">
            <v>*</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row>
        <row r="540">
          <cell r="B540" t="str">
            <v>地上计容车库</v>
          </cell>
          <cell r="C540" t="str">
            <v>电梯台数</v>
          </cell>
          <cell r="D540" t="str">
            <v>台</v>
          </cell>
          <cell r="E540">
            <v>0</v>
          </cell>
          <cell r="F540">
            <v>0</v>
          </cell>
          <cell r="G540">
            <v>0</v>
          </cell>
          <cell r="H540">
            <v>0</v>
          </cell>
          <cell r="I540">
            <v>0.10999999999999999</v>
          </cell>
          <cell r="J540">
            <v>0</v>
          </cell>
          <cell r="K540">
            <v>0</v>
          </cell>
          <cell r="L540">
            <v>0</v>
          </cell>
          <cell r="M540">
            <v>0</v>
          </cell>
          <cell r="O540" t="str">
            <v>*</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row>
        <row r="541">
          <cell r="B541" t="str">
            <v>非人防地下室</v>
          </cell>
          <cell r="C541" t="str">
            <v>电梯台数</v>
          </cell>
          <cell r="D541" t="str">
            <v>台</v>
          </cell>
          <cell r="E541">
            <v>0</v>
          </cell>
          <cell r="F541">
            <v>0</v>
          </cell>
          <cell r="G541">
            <v>0</v>
          </cell>
          <cell r="H541">
            <v>0</v>
          </cell>
          <cell r="I541">
            <v>0.10999999999999999</v>
          </cell>
          <cell r="J541">
            <v>0</v>
          </cell>
          <cell r="K541">
            <v>0</v>
          </cell>
          <cell r="L541">
            <v>0</v>
          </cell>
          <cell r="M541">
            <v>0</v>
          </cell>
          <cell r="O541" t="str">
            <v>*</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row>
        <row r="542">
          <cell r="B542" t="str">
            <v>人防地下室</v>
          </cell>
          <cell r="C542" t="str">
            <v>电梯台数</v>
          </cell>
          <cell r="D542" t="str">
            <v>台</v>
          </cell>
          <cell r="E542">
            <v>0</v>
          </cell>
          <cell r="F542">
            <v>0</v>
          </cell>
          <cell r="G542">
            <v>0</v>
          </cell>
          <cell r="H542">
            <v>0</v>
          </cell>
          <cell r="I542">
            <v>0.10999999999999999</v>
          </cell>
          <cell r="J542">
            <v>0</v>
          </cell>
          <cell r="K542">
            <v>0</v>
          </cell>
          <cell r="L542">
            <v>0</v>
          </cell>
          <cell r="M542">
            <v>0</v>
          </cell>
          <cell r="O542" t="str">
            <v>*</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row>
        <row r="543">
          <cell r="B543" t="str">
            <v>独立会所（综合楼）</v>
          </cell>
          <cell r="C543" t="str">
            <v>电梯台数</v>
          </cell>
          <cell r="D543" t="str">
            <v>台</v>
          </cell>
          <cell r="E543">
            <v>0</v>
          </cell>
          <cell r="F543">
            <v>0</v>
          </cell>
          <cell r="G543">
            <v>0</v>
          </cell>
          <cell r="H543">
            <v>0</v>
          </cell>
          <cell r="I543">
            <v>0.10999999999999999</v>
          </cell>
          <cell r="J543">
            <v>0</v>
          </cell>
          <cell r="K543">
            <v>0</v>
          </cell>
          <cell r="L543">
            <v>0</v>
          </cell>
          <cell r="M543">
            <v>0</v>
          </cell>
          <cell r="O543" t="str">
            <v>*</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row>
        <row r="544">
          <cell r="B544" t="str">
            <v>活动中心</v>
          </cell>
          <cell r="C544" t="str">
            <v>电梯台数</v>
          </cell>
          <cell r="D544" t="str">
            <v>台</v>
          </cell>
          <cell r="E544">
            <v>0</v>
          </cell>
          <cell r="F544">
            <v>0</v>
          </cell>
          <cell r="G544">
            <v>0</v>
          </cell>
          <cell r="H544">
            <v>0</v>
          </cell>
          <cell r="I544">
            <v>0.10999999999999999</v>
          </cell>
          <cell r="J544">
            <v>0</v>
          </cell>
          <cell r="K544">
            <v>0</v>
          </cell>
          <cell r="L544">
            <v>0</v>
          </cell>
          <cell r="M544">
            <v>0</v>
          </cell>
          <cell r="O544" t="str">
            <v>*</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row>
        <row r="545">
          <cell r="B545" t="str">
            <v>商贸市场</v>
          </cell>
          <cell r="C545" t="str">
            <v>电梯台数</v>
          </cell>
          <cell r="D545" t="str">
            <v>台</v>
          </cell>
          <cell r="E545">
            <v>0</v>
          </cell>
          <cell r="F545">
            <v>0</v>
          </cell>
          <cell r="G545">
            <v>0</v>
          </cell>
          <cell r="H545">
            <v>0</v>
          </cell>
          <cell r="I545">
            <v>0.10999999999999999</v>
          </cell>
          <cell r="J545">
            <v>0</v>
          </cell>
          <cell r="K545">
            <v>0</v>
          </cell>
          <cell r="L545">
            <v>0</v>
          </cell>
          <cell r="M545">
            <v>0</v>
          </cell>
          <cell r="O545" t="str">
            <v>*</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row>
        <row r="546">
          <cell r="B546" t="str">
            <v>医院</v>
          </cell>
          <cell r="C546" t="str">
            <v>电梯台数</v>
          </cell>
          <cell r="D546" t="str">
            <v>台</v>
          </cell>
          <cell r="E546">
            <v>0</v>
          </cell>
          <cell r="F546">
            <v>0</v>
          </cell>
          <cell r="G546">
            <v>0</v>
          </cell>
          <cell r="H546">
            <v>0</v>
          </cell>
          <cell r="I546">
            <v>0.10999999999999999</v>
          </cell>
          <cell r="J546">
            <v>0</v>
          </cell>
          <cell r="K546">
            <v>0</v>
          </cell>
          <cell r="L546">
            <v>0</v>
          </cell>
          <cell r="M546">
            <v>0</v>
          </cell>
          <cell r="O546" t="str">
            <v>*</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row>
        <row r="547">
          <cell r="B547" t="str">
            <v>幼儿园</v>
          </cell>
          <cell r="C547" t="str">
            <v>电梯台数</v>
          </cell>
          <cell r="D547" t="str">
            <v>台</v>
          </cell>
          <cell r="E547">
            <v>0</v>
          </cell>
          <cell r="F547">
            <v>0</v>
          </cell>
          <cell r="G547">
            <v>0</v>
          </cell>
          <cell r="H547">
            <v>0</v>
          </cell>
          <cell r="I547">
            <v>0.10999999999999999</v>
          </cell>
          <cell r="J547">
            <v>0</v>
          </cell>
          <cell r="K547">
            <v>0</v>
          </cell>
          <cell r="L547">
            <v>0</v>
          </cell>
          <cell r="M547">
            <v>0</v>
          </cell>
          <cell r="O547" t="str">
            <v>*</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row>
        <row r="548">
          <cell r="B548" t="str">
            <v>学校</v>
          </cell>
          <cell r="C548" t="str">
            <v>电梯台数</v>
          </cell>
          <cell r="D548" t="str">
            <v>台</v>
          </cell>
          <cell r="E548">
            <v>0</v>
          </cell>
          <cell r="F548">
            <v>0</v>
          </cell>
          <cell r="G548">
            <v>0</v>
          </cell>
          <cell r="H548">
            <v>0</v>
          </cell>
          <cell r="I548">
            <v>0.10999999999999999</v>
          </cell>
          <cell r="J548">
            <v>0</v>
          </cell>
          <cell r="K548">
            <v>0</v>
          </cell>
          <cell r="L548">
            <v>0</v>
          </cell>
          <cell r="M548">
            <v>0</v>
          </cell>
          <cell r="O548" t="str">
            <v>*</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row>
        <row r="549">
          <cell r="B549" t="str">
            <v>员工宿舍</v>
          </cell>
          <cell r="C549" t="str">
            <v>电梯台数</v>
          </cell>
          <cell r="D549" t="str">
            <v>台</v>
          </cell>
          <cell r="E549">
            <v>0</v>
          </cell>
          <cell r="F549">
            <v>0</v>
          </cell>
          <cell r="G549">
            <v>0</v>
          </cell>
          <cell r="H549">
            <v>0</v>
          </cell>
          <cell r="I549">
            <v>0.10999999999999999</v>
          </cell>
          <cell r="J549">
            <v>0</v>
          </cell>
          <cell r="K549">
            <v>0</v>
          </cell>
          <cell r="L549">
            <v>0</v>
          </cell>
          <cell r="M549">
            <v>0</v>
          </cell>
          <cell r="O549" t="str">
            <v>*</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row>
        <row r="550">
          <cell r="A550" t="str">
            <v>03.01.06</v>
          </cell>
          <cell r="B550" t="str">
            <v>外立面装修</v>
          </cell>
          <cell r="C550" t="str">
            <v>地上建筑面积</v>
          </cell>
          <cell r="D550" t="str">
            <v>m2</v>
          </cell>
          <cell r="E550">
            <v>154715.32</v>
          </cell>
          <cell r="F550">
            <v>207.05235279867566</v>
          </cell>
          <cell r="G550">
            <v>32034171.02</v>
          </cell>
          <cell r="I550">
            <v>0.10999999999999985</v>
          </cell>
          <cell r="J550">
            <v>186.53365116997807</v>
          </cell>
          <cell r="K550">
            <v>20.518701628697585</v>
          </cell>
          <cell r="L550">
            <v>28859613.531531535</v>
          </cell>
          <cell r="M550">
            <v>3174557.4884684645</v>
          </cell>
          <cell r="P550">
            <v>0</v>
          </cell>
          <cell r="Q550">
            <v>3416643.2432432435</v>
          </cell>
          <cell r="R550">
            <v>295725.40540540544</v>
          </cell>
          <cell r="S550">
            <v>16095613.621621624</v>
          </cell>
          <cell r="T550">
            <v>9051631.261261262</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28859613.531531535</v>
          </cell>
          <cell r="AS550">
            <v>0</v>
          </cell>
        </row>
        <row r="551">
          <cell r="B551" t="str">
            <v>外立面干挂石材</v>
          </cell>
          <cell r="C551" t="str">
            <v>地上建筑面积</v>
          </cell>
          <cell r="D551" t="str">
            <v>m2</v>
          </cell>
          <cell r="E551">
            <v>154715.32</v>
          </cell>
          <cell r="F551">
            <v>0</v>
          </cell>
          <cell r="G551">
            <v>0</v>
          </cell>
          <cell r="I551">
            <v>0</v>
          </cell>
          <cell r="J551">
            <v>0</v>
          </cell>
          <cell r="K551">
            <v>0</v>
          </cell>
          <cell r="L551">
            <v>0</v>
          </cell>
          <cell r="M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row>
        <row r="552">
          <cell r="B552">
            <v>100</v>
          </cell>
          <cell r="C552" t="str">
            <v>石材干挂面积</v>
          </cell>
          <cell r="D552" t="str">
            <v>m2</v>
          </cell>
          <cell r="E552">
            <v>0</v>
          </cell>
          <cell r="F552">
            <v>0</v>
          </cell>
          <cell r="G552">
            <v>0</v>
          </cell>
          <cell r="H552">
            <v>0</v>
          </cell>
          <cell r="I552">
            <v>0.10999999999999999</v>
          </cell>
          <cell r="J552">
            <v>0</v>
          </cell>
          <cell r="K552">
            <v>0</v>
          </cell>
          <cell r="L552">
            <v>0</v>
          </cell>
          <cell r="M552">
            <v>0</v>
          </cell>
          <cell r="O552" t="str">
            <v>*</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row>
        <row r="553">
          <cell r="B553">
            <v>125</v>
          </cell>
          <cell r="C553" t="str">
            <v>石材干挂面积</v>
          </cell>
          <cell r="D553" t="str">
            <v>m2</v>
          </cell>
          <cell r="E553">
            <v>0</v>
          </cell>
          <cell r="F553">
            <v>0</v>
          </cell>
          <cell r="G553">
            <v>0</v>
          </cell>
          <cell r="H553">
            <v>0</v>
          </cell>
          <cell r="I553">
            <v>0.10999999999999999</v>
          </cell>
          <cell r="J553">
            <v>0</v>
          </cell>
          <cell r="K553">
            <v>0</v>
          </cell>
          <cell r="L553">
            <v>0</v>
          </cell>
          <cell r="M553">
            <v>0</v>
          </cell>
          <cell r="O553" t="str">
            <v>*</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row>
        <row r="554">
          <cell r="B554">
            <v>150</v>
          </cell>
          <cell r="C554" t="str">
            <v>石材干挂面积</v>
          </cell>
          <cell r="D554" t="str">
            <v>m2</v>
          </cell>
          <cell r="E554">
            <v>0</v>
          </cell>
          <cell r="F554">
            <v>0</v>
          </cell>
          <cell r="G554">
            <v>0</v>
          </cell>
          <cell r="H554">
            <v>0</v>
          </cell>
          <cell r="I554">
            <v>0.10999999999999999</v>
          </cell>
          <cell r="J554">
            <v>0</v>
          </cell>
          <cell r="K554">
            <v>0</v>
          </cell>
          <cell r="L554">
            <v>0</v>
          </cell>
          <cell r="M554">
            <v>0</v>
          </cell>
          <cell r="O554" t="str">
            <v>*</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row>
        <row r="555">
          <cell r="B555" t="str">
            <v>1T4(30F)</v>
          </cell>
          <cell r="C555" t="str">
            <v>石材干挂面积</v>
          </cell>
          <cell r="D555" t="str">
            <v>m2</v>
          </cell>
          <cell r="E555">
            <v>0</v>
          </cell>
          <cell r="F555">
            <v>0</v>
          </cell>
          <cell r="G555">
            <v>0</v>
          </cell>
          <cell r="H555">
            <v>0</v>
          </cell>
          <cell r="I555">
            <v>0.10999999999999999</v>
          </cell>
          <cell r="J555">
            <v>0</v>
          </cell>
          <cell r="K555">
            <v>0</v>
          </cell>
          <cell r="L555">
            <v>0</v>
          </cell>
          <cell r="M555">
            <v>0</v>
          </cell>
          <cell r="O555" t="str">
            <v>*</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row>
        <row r="556">
          <cell r="B556" t="str">
            <v>1T3(30F)</v>
          </cell>
          <cell r="C556" t="str">
            <v>石材干挂面积</v>
          </cell>
          <cell r="D556" t="str">
            <v>m2</v>
          </cell>
          <cell r="E556">
            <v>0</v>
          </cell>
          <cell r="F556">
            <v>0</v>
          </cell>
          <cell r="G556">
            <v>0</v>
          </cell>
          <cell r="H556">
            <v>0</v>
          </cell>
          <cell r="I556">
            <v>0.10999999999999999</v>
          </cell>
          <cell r="J556">
            <v>0</v>
          </cell>
          <cell r="K556">
            <v>0</v>
          </cell>
          <cell r="L556">
            <v>0</v>
          </cell>
          <cell r="M556">
            <v>0</v>
          </cell>
          <cell r="O556" t="str">
            <v>*</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row>
        <row r="557">
          <cell r="B557" t="str">
            <v>LOFT(31F)</v>
          </cell>
          <cell r="C557" t="str">
            <v>石材干挂面积</v>
          </cell>
          <cell r="D557" t="str">
            <v>m2</v>
          </cell>
          <cell r="E557">
            <v>0</v>
          </cell>
          <cell r="F557">
            <v>0</v>
          </cell>
          <cell r="G557">
            <v>0</v>
          </cell>
          <cell r="H557">
            <v>0</v>
          </cell>
          <cell r="I557">
            <v>0.10999999999999999</v>
          </cell>
          <cell r="J557">
            <v>0</v>
          </cell>
          <cell r="K557">
            <v>0</v>
          </cell>
          <cell r="L557">
            <v>0</v>
          </cell>
          <cell r="M557">
            <v>0</v>
          </cell>
          <cell r="O557" t="str">
            <v>*</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row>
        <row r="558">
          <cell r="B558" t="str">
            <v>1T2(31F)</v>
          </cell>
          <cell r="C558" t="str">
            <v>石材干挂面积</v>
          </cell>
          <cell r="D558" t="str">
            <v>m2</v>
          </cell>
          <cell r="E558">
            <v>0</v>
          </cell>
          <cell r="F558">
            <v>0</v>
          </cell>
          <cell r="G558">
            <v>0</v>
          </cell>
          <cell r="H558">
            <v>0</v>
          </cell>
          <cell r="I558">
            <v>0.10999999999999999</v>
          </cell>
          <cell r="J558">
            <v>0</v>
          </cell>
          <cell r="K558">
            <v>0</v>
          </cell>
          <cell r="L558">
            <v>0</v>
          </cell>
          <cell r="M558">
            <v>0</v>
          </cell>
          <cell r="O558" t="str">
            <v>*</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row>
        <row r="559">
          <cell r="B559" t="str">
            <v>1T8(32F)</v>
          </cell>
          <cell r="C559" t="str">
            <v>石材干挂面积</v>
          </cell>
          <cell r="D559" t="str">
            <v>m2</v>
          </cell>
          <cell r="E559">
            <v>0</v>
          </cell>
          <cell r="F559">
            <v>0</v>
          </cell>
          <cell r="G559">
            <v>0</v>
          </cell>
          <cell r="H559">
            <v>0</v>
          </cell>
          <cell r="I559">
            <v>0.10999999999999999</v>
          </cell>
          <cell r="J559">
            <v>0</v>
          </cell>
          <cell r="K559">
            <v>0</v>
          </cell>
          <cell r="L559">
            <v>0</v>
          </cell>
          <cell r="M559">
            <v>0</v>
          </cell>
          <cell r="O559" t="str">
            <v>*</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row>
        <row r="560">
          <cell r="B560" t="str">
            <v>中高层洋房</v>
          </cell>
          <cell r="C560" t="str">
            <v>石材干挂面积</v>
          </cell>
          <cell r="D560" t="str">
            <v>m2</v>
          </cell>
          <cell r="E560">
            <v>0</v>
          </cell>
          <cell r="F560">
            <v>0</v>
          </cell>
          <cell r="G560">
            <v>0</v>
          </cell>
          <cell r="H560">
            <v>0</v>
          </cell>
          <cell r="I560">
            <v>0.10999999999999999</v>
          </cell>
          <cell r="J560">
            <v>0</v>
          </cell>
          <cell r="K560">
            <v>0</v>
          </cell>
          <cell r="L560">
            <v>0</v>
          </cell>
          <cell r="M560">
            <v>0</v>
          </cell>
          <cell r="O560" t="str">
            <v>*</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row>
        <row r="561">
          <cell r="B561" t="str">
            <v>115高层洋房</v>
          </cell>
          <cell r="C561" t="str">
            <v>石材干挂面积</v>
          </cell>
          <cell r="D561" t="str">
            <v>m2</v>
          </cell>
          <cell r="E561">
            <v>0</v>
          </cell>
          <cell r="F561">
            <v>0</v>
          </cell>
          <cell r="G561">
            <v>0</v>
          </cell>
          <cell r="H561">
            <v>0</v>
          </cell>
          <cell r="I561">
            <v>0.10999999999999999</v>
          </cell>
          <cell r="J561">
            <v>0</v>
          </cell>
          <cell r="K561">
            <v>0</v>
          </cell>
          <cell r="L561">
            <v>0</v>
          </cell>
          <cell r="M561">
            <v>0</v>
          </cell>
          <cell r="O561" t="str">
            <v>*</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row>
        <row r="562">
          <cell r="B562" t="str">
            <v>超高层洋房</v>
          </cell>
          <cell r="C562" t="str">
            <v>石材干挂面积</v>
          </cell>
          <cell r="D562" t="str">
            <v>m2</v>
          </cell>
          <cell r="E562">
            <v>0</v>
          </cell>
          <cell r="F562">
            <v>0</v>
          </cell>
          <cell r="G562">
            <v>0</v>
          </cell>
          <cell r="H562">
            <v>0</v>
          </cell>
          <cell r="I562">
            <v>0.10999999999999999</v>
          </cell>
          <cell r="J562">
            <v>0</v>
          </cell>
          <cell r="K562">
            <v>0</v>
          </cell>
          <cell r="L562">
            <v>0</v>
          </cell>
          <cell r="M562">
            <v>0</v>
          </cell>
          <cell r="O562" t="str">
            <v>*</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row>
        <row r="563">
          <cell r="B563" t="str">
            <v>公寓</v>
          </cell>
          <cell r="C563" t="str">
            <v>石材干挂面积</v>
          </cell>
          <cell r="D563" t="str">
            <v>m2</v>
          </cell>
          <cell r="E563">
            <v>0</v>
          </cell>
          <cell r="F563">
            <v>0</v>
          </cell>
          <cell r="G563">
            <v>0</v>
          </cell>
          <cell r="H563">
            <v>0</v>
          </cell>
          <cell r="I563">
            <v>0.10999999999999999</v>
          </cell>
          <cell r="J563">
            <v>0</v>
          </cell>
          <cell r="K563">
            <v>0</v>
          </cell>
          <cell r="L563">
            <v>0</v>
          </cell>
          <cell r="M563">
            <v>0</v>
          </cell>
          <cell r="O563" t="str">
            <v>*</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row>
        <row r="564">
          <cell r="B564" t="str">
            <v>底商</v>
          </cell>
          <cell r="C564" t="str">
            <v>石材干挂面积</v>
          </cell>
          <cell r="D564" t="str">
            <v>m2</v>
          </cell>
          <cell r="E564">
            <v>0</v>
          </cell>
          <cell r="F564">
            <v>0</v>
          </cell>
          <cell r="G564">
            <v>0</v>
          </cell>
          <cell r="H564">
            <v>0</v>
          </cell>
          <cell r="I564">
            <v>0.10999999999999999</v>
          </cell>
          <cell r="J564">
            <v>0</v>
          </cell>
          <cell r="K564">
            <v>0</v>
          </cell>
          <cell r="L564">
            <v>0</v>
          </cell>
          <cell r="M564">
            <v>0</v>
          </cell>
          <cell r="O564" t="str">
            <v>*</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row>
        <row r="565">
          <cell r="B565" t="str">
            <v>商业街</v>
          </cell>
          <cell r="C565" t="str">
            <v>石材干挂面积</v>
          </cell>
          <cell r="D565" t="str">
            <v>m2</v>
          </cell>
          <cell r="E565">
            <v>0</v>
          </cell>
          <cell r="F565">
            <v>0</v>
          </cell>
          <cell r="G565">
            <v>0</v>
          </cell>
          <cell r="H565">
            <v>0</v>
          </cell>
          <cell r="I565">
            <v>0.10999999999999999</v>
          </cell>
          <cell r="J565">
            <v>0</v>
          </cell>
          <cell r="K565">
            <v>0</v>
          </cell>
          <cell r="L565">
            <v>0</v>
          </cell>
          <cell r="M565">
            <v>0</v>
          </cell>
          <cell r="O565" t="str">
            <v>*</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row>
        <row r="566">
          <cell r="B566" t="str">
            <v>综合楼</v>
          </cell>
          <cell r="C566" t="str">
            <v>石材干挂面积</v>
          </cell>
          <cell r="D566" t="str">
            <v>m2</v>
          </cell>
          <cell r="E566">
            <v>0</v>
          </cell>
          <cell r="F566">
            <v>0</v>
          </cell>
          <cell r="G566">
            <v>0</v>
          </cell>
          <cell r="H566">
            <v>0</v>
          </cell>
          <cell r="I566">
            <v>0.10999999999999999</v>
          </cell>
          <cell r="J566">
            <v>0</v>
          </cell>
          <cell r="K566">
            <v>0</v>
          </cell>
          <cell r="L566">
            <v>0</v>
          </cell>
          <cell r="M566">
            <v>0</v>
          </cell>
          <cell r="O566" t="str">
            <v>*</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row>
        <row r="567">
          <cell r="B567" t="str">
            <v>写字楼</v>
          </cell>
          <cell r="C567" t="str">
            <v>石材干挂面积</v>
          </cell>
          <cell r="D567" t="str">
            <v>m2</v>
          </cell>
          <cell r="E567">
            <v>0</v>
          </cell>
          <cell r="F567">
            <v>0</v>
          </cell>
          <cell r="G567">
            <v>0</v>
          </cell>
          <cell r="H567">
            <v>0</v>
          </cell>
          <cell r="I567">
            <v>0.10999999999999999</v>
          </cell>
          <cell r="J567">
            <v>0</v>
          </cell>
          <cell r="K567">
            <v>0</v>
          </cell>
          <cell r="L567">
            <v>0</v>
          </cell>
          <cell r="M567">
            <v>0</v>
          </cell>
          <cell r="O567" t="str">
            <v>*</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row>
        <row r="568">
          <cell r="B568" t="str">
            <v>酒店</v>
          </cell>
          <cell r="C568" t="str">
            <v>石材干挂面积</v>
          </cell>
          <cell r="D568" t="str">
            <v>m2</v>
          </cell>
          <cell r="E568">
            <v>0</v>
          </cell>
          <cell r="F568">
            <v>0</v>
          </cell>
          <cell r="G568">
            <v>0</v>
          </cell>
          <cell r="H568">
            <v>0</v>
          </cell>
          <cell r="I568">
            <v>0.10999999999999999</v>
          </cell>
          <cell r="J568">
            <v>0</v>
          </cell>
          <cell r="K568">
            <v>0</v>
          </cell>
          <cell r="L568">
            <v>0</v>
          </cell>
          <cell r="M568">
            <v>0</v>
          </cell>
          <cell r="O568" t="str">
            <v>*</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row>
        <row r="569">
          <cell r="B569" t="str">
            <v>医院（自持）</v>
          </cell>
          <cell r="C569" t="str">
            <v>石材干挂面积</v>
          </cell>
          <cell r="D569" t="str">
            <v>m2</v>
          </cell>
          <cell r="E569">
            <v>0</v>
          </cell>
          <cell r="F569">
            <v>0</v>
          </cell>
          <cell r="G569">
            <v>0</v>
          </cell>
          <cell r="H569">
            <v>0</v>
          </cell>
          <cell r="I569">
            <v>0.10999999999999999</v>
          </cell>
          <cell r="J569">
            <v>0</v>
          </cell>
          <cell r="K569">
            <v>0</v>
          </cell>
          <cell r="L569">
            <v>0</v>
          </cell>
          <cell r="M569">
            <v>0</v>
          </cell>
          <cell r="O569" t="str">
            <v>*</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row>
        <row r="570">
          <cell r="B570" t="str">
            <v>地上计容车库</v>
          </cell>
          <cell r="C570" t="str">
            <v>石材干挂面积</v>
          </cell>
          <cell r="D570" t="str">
            <v>m2</v>
          </cell>
          <cell r="E570">
            <v>0</v>
          </cell>
          <cell r="F570">
            <v>0</v>
          </cell>
          <cell r="G570">
            <v>0</v>
          </cell>
          <cell r="H570">
            <v>0</v>
          </cell>
          <cell r="I570">
            <v>0.10999999999999999</v>
          </cell>
          <cell r="J570">
            <v>0</v>
          </cell>
          <cell r="K570">
            <v>0</v>
          </cell>
          <cell r="L570">
            <v>0</v>
          </cell>
          <cell r="M570">
            <v>0</v>
          </cell>
          <cell r="O570" t="str">
            <v>*</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row>
        <row r="571">
          <cell r="B571" t="str">
            <v>非人防地下室</v>
          </cell>
          <cell r="C571" t="str">
            <v>石材干挂面积</v>
          </cell>
          <cell r="D571" t="str">
            <v>m2</v>
          </cell>
          <cell r="E571">
            <v>0</v>
          </cell>
          <cell r="F571">
            <v>0</v>
          </cell>
          <cell r="G571">
            <v>0</v>
          </cell>
          <cell r="H571">
            <v>0</v>
          </cell>
          <cell r="I571">
            <v>0.10999999999999999</v>
          </cell>
          <cell r="J571">
            <v>0</v>
          </cell>
          <cell r="K571">
            <v>0</v>
          </cell>
          <cell r="L571">
            <v>0</v>
          </cell>
          <cell r="M571">
            <v>0</v>
          </cell>
          <cell r="O571" t="str">
            <v>*</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row>
        <row r="572">
          <cell r="B572" t="str">
            <v>人防地下室</v>
          </cell>
          <cell r="C572" t="str">
            <v>石材干挂面积</v>
          </cell>
          <cell r="D572" t="str">
            <v>m2</v>
          </cell>
          <cell r="E572">
            <v>0</v>
          </cell>
          <cell r="F572">
            <v>0</v>
          </cell>
          <cell r="G572">
            <v>0</v>
          </cell>
          <cell r="H572">
            <v>0</v>
          </cell>
          <cell r="I572">
            <v>0.10999999999999999</v>
          </cell>
          <cell r="J572">
            <v>0</v>
          </cell>
          <cell r="K572">
            <v>0</v>
          </cell>
          <cell r="L572">
            <v>0</v>
          </cell>
          <cell r="M572">
            <v>0</v>
          </cell>
          <cell r="O572" t="str">
            <v>*</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row>
        <row r="573">
          <cell r="B573" t="str">
            <v>独立会所（综合楼）</v>
          </cell>
          <cell r="C573" t="str">
            <v>石材干挂面积</v>
          </cell>
          <cell r="D573" t="str">
            <v>m2</v>
          </cell>
          <cell r="E573">
            <v>0</v>
          </cell>
          <cell r="F573">
            <v>0</v>
          </cell>
          <cell r="G573">
            <v>0</v>
          </cell>
          <cell r="H573">
            <v>0</v>
          </cell>
          <cell r="I573">
            <v>0.10999999999999999</v>
          </cell>
          <cell r="J573">
            <v>0</v>
          </cell>
          <cell r="K573">
            <v>0</v>
          </cell>
          <cell r="L573">
            <v>0</v>
          </cell>
          <cell r="M573">
            <v>0</v>
          </cell>
          <cell r="O573" t="str">
            <v>*</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row>
        <row r="574">
          <cell r="B574" t="str">
            <v>活动中心</v>
          </cell>
          <cell r="C574" t="str">
            <v>石材干挂面积</v>
          </cell>
          <cell r="D574" t="str">
            <v>m2</v>
          </cell>
          <cell r="E574">
            <v>0</v>
          </cell>
          <cell r="F574">
            <v>0</v>
          </cell>
          <cell r="G574">
            <v>0</v>
          </cell>
          <cell r="H574">
            <v>0</v>
          </cell>
          <cell r="I574">
            <v>0.10999999999999999</v>
          </cell>
          <cell r="J574">
            <v>0</v>
          </cell>
          <cell r="K574">
            <v>0</v>
          </cell>
          <cell r="L574">
            <v>0</v>
          </cell>
          <cell r="M574">
            <v>0</v>
          </cell>
          <cell r="O574" t="str">
            <v>*</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row>
        <row r="575">
          <cell r="B575" t="str">
            <v>商贸市场</v>
          </cell>
          <cell r="C575" t="str">
            <v>石材干挂面积</v>
          </cell>
          <cell r="D575" t="str">
            <v>m2</v>
          </cell>
          <cell r="E575">
            <v>0</v>
          </cell>
          <cell r="F575">
            <v>0</v>
          </cell>
          <cell r="G575">
            <v>0</v>
          </cell>
          <cell r="H575">
            <v>0</v>
          </cell>
          <cell r="I575">
            <v>0.10999999999999999</v>
          </cell>
          <cell r="J575">
            <v>0</v>
          </cell>
          <cell r="K575">
            <v>0</v>
          </cell>
          <cell r="L575">
            <v>0</v>
          </cell>
          <cell r="M575">
            <v>0</v>
          </cell>
          <cell r="O575" t="str">
            <v>*</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row>
        <row r="576">
          <cell r="B576" t="str">
            <v>医院</v>
          </cell>
          <cell r="C576" t="str">
            <v>石材干挂面积</v>
          </cell>
          <cell r="D576" t="str">
            <v>m2</v>
          </cell>
          <cell r="E576">
            <v>0</v>
          </cell>
          <cell r="F576">
            <v>0</v>
          </cell>
          <cell r="G576">
            <v>0</v>
          </cell>
          <cell r="H576">
            <v>0</v>
          </cell>
          <cell r="I576">
            <v>0.10999999999999999</v>
          </cell>
          <cell r="J576">
            <v>0</v>
          </cell>
          <cell r="K576">
            <v>0</v>
          </cell>
          <cell r="L576">
            <v>0</v>
          </cell>
          <cell r="M576">
            <v>0</v>
          </cell>
          <cell r="O576" t="str">
            <v>*</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row>
        <row r="577">
          <cell r="B577" t="str">
            <v>幼儿园</v>
          </cell>
          <cell r="C577" t="str">
            <v>石材干挂面积</v>
          </cell>
          <cell r="D577" t="str">
            <v>m2</v>
          </cell>
          <cell r="E577">
            <v>0</v>
          </cell>
          <cell r="F577">
            <v>0</v>
          </cell>
          <cell r="G577">
            <v>0</v>
          </cell>
          <cell r="H577">
            <v>0</v>
          </cell>
          <cell r="I577">
            <v>0.10999999999999999</v>
          </cell>
          <cell r="J577">
            <v>0</v>
          </cell>
          <cell r="K577">
            <v>0</v>
          </cell>
          <cell r="L577">
            <v>0</v>
          </cell>
          <cell r="M577">
            <v>0</v>
          </cell>
          <cell r="O577" t="str">
            <v>*</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row>
        <row r="578">
          <cell r="B578" t="str">
            <v>学校</v>
          </cell>
          <cell r="C578" t="str">
            <v>石材干挂面积</v>
          </cell>
          <cell r="D578" t="str">
            <v>m2</v>
          </cell>
          <cell r="E578">
            <v>0</v>
          </cell>
          <cell r="F578">
            <v>0</v>
          </cell>
          <cell r="G578">
            <v>0</v>
          </cell>
          <cell r="H578">
            <v>0</v>
          </cell>
          <cell r="I578">
            <v>0.10999999999999999</v>
          </cell>
          <cell r="J578">
            <v>0</v>
          </cell>
          <cell r="K578">
            <v>0</v>
          </cell>
          <cell r="L578">
            <v>0</v>
          </cell>
          <cell r="M578">
            <v>0</v>
          </cell>
          <cell r="O578" t="str">
            <v>*</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row>
        <row r="579">
          <cell r="B579" t="str">
            <v>员工宿舍</v>
          </cell>
          <cell r="C579" t="str">
            <v>石材干挂面积</v>
          </cell>
          <cell r="D579" t="str">
            <v>m2</v>
          </cell>
          <cell r="E579">
            <v>0</v>
          </cell>
          <cell r="F579">
            <v>0</v>
          </cell>
          <cell r="G579">
            <v>0</v>
          </cell>
          <cell r="H579">
            <v>0</v>
          </cell>
          <cell r="I579">
            <v>0.10999999999999999</v>
          </cell>
          <cell r="J579">
            <v>0</v>
          </cell>
          <cell r="K579">
            <v>0</v>
          </cell>
          <cell r="L579">
            <v>0</v>
          </cell>
          <cell r="M579">
            <v>0</v>
          </cell>
          <cell r="O579" t="str">
            <v>*</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row>
        <row r="580">
          <cell r="B580" t="str">
            <v>外立面幕墙工程</v>
          </cell>
          <cell r="C580" t="str">
            <v>地上建筑面积</v>
          </cell>
          <cell r="D580" t="str">
            <v>m2</v>
          </cell>
          <cell r="E580">
            <v>154715.32</v>
          </cell>
          <cell r="F580">
            <v>79.67096923562579</v>
          </cell>
          <cell r="G580">
            <v>12326319.5</v>
          </cell>
          <cell r="I580">
            <v>0.10999999999999992</v>
          </cell>
          <cell r="J580">
            <v>71.775647960023235</v>
          </cell>
          <cell r="K580">
            <v>7.895321275602555</v>
          </cell>
          <cell r="L580">
            <v>11104792.342342343</v>
          </cell>
          <cell r="M580">
            <v>1221527.1576576568</v>
          </cell>
          <cell r="P580">
            <v>0</v>
          </cell>
          <cell r="Q580">
            <v>0</v>
          </cell>
          <cell r="R580">
            <v>0</v>
          </cell>
          <cell r="S580">
            <v>4712578.3783783792</v>
          </cell>
          <cell r="T580">
            <v>6392213.963963965</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11104792.342342343</v>
          </cell>
          <cell r="AS580">
            <v>0</v>
          </cell>
        </row>
        <row r="581">
          <cell r="B581">
            <v>100</v>
          </cell>
          <cell r="C581" t="str">
            <v>幕墙测算面积</v>
          </cell>
          <cell r="D581" t="str">
            <v>m2</v>
          </cell>
          <cell r="E581">
            <v>0</v>
          </cell>
          <cell r="F581">
            <v>0</v>
          </cell>
          <cell r="G581">
            <v>0</v>
          </cell>
          <cell r="H581">
            <v>0</v>
          </cell>
          <cell r="I581">
            <v>0.10999999999999999</v>
          </cell>
          <cell r="J581">
            <v>0</v>
          </cell>
          <cell r="K581">
            <v>0</v>
          </cell>
          <cell r="L581">
            <v>0</v>
          </cell>
          <cell r="M581">
            <v>0</v>
          </cell>
          <cell r="O581" t="str">
            <v>*</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row>
        <row r="582">
          <cell r="B582">
            <v>125</v>
          </cell>
          <cell r="C582" t="str">
            <v>幕墙测算面积</v>
          </cell>
          <cell r="D582" t="str">
            <v>m2</v>
          </cell>
          <cell r="E582">
            <v>0</v>
          </cell>
          <cell r="F582">
            <v>0</v>
          </cell>
          <cell r="G582">
            <v>0</v>
          </cell>
          <cell r="H582">
            <v>0</v>
          </cell>
          <cell r="I582">
            <v>0.10999999999999999</v>
          </cell>
          <cell r="J582">
            <v>0</v>
          </cell>
          <cell r="K582">
            <v>0</v>
          </cell>
          <cell r="L582">
            <v>0</v>
          </cell>
          <cell r="M582">
            <v>0</v>
          </cell>
          <cell r="O582" t="str">
            <v>*</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row>
        <row r="583">
          <cell r="B583">
            <v>150</v>
          </cell>
          <cell r="C583" t="str">
            <v>幕墙测算面积</v>
          </cell>
          <cell r="D583" t="str">
            <v>m2</v>
          </cell>
          <cell r="E583">
            <v>0</v>
          </cell>
          <cell r="F583">
            <v>0</v>
          </cell>
          <cell r="G583">
            <v>0</v>
          </cell>
          <cell r="H583">
            <v>0</v>
          </cell>
          <cell r="I583">
            <v>0.10999999999999999</v>
          </cell>
          <cell r="J583">
            <v>0</v>
          </cell>
          <cell r="K583">
            <v>0</v>
          </cell>
          <cell r="L583">
            <v>0</v>
          </cell>
          <cell r="M583">
            <v>0</v>
          </cell>
          <cell r="O583" t="str">
            <v>*</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row>
        <row r="584">
          <cell r="B584" t="str">
            <v>1T4(30F)</v>
          </cell>
          <cell r="C584" t="str">
            <v>幕墙测算面积</v>
          </cell>
          <cell r="D584" t="str">
            <v>m2</v>
          </cell>
          <cell r="E584">
            <v>9510.84</v>
          </cell>
          <cell r="F584">
            <v>550</v>
          </cell>
          <cell r="G584">
            <v>5230962</v>
          </cell>
          <cell r="H584">
            <v>0</v>
          </cell>
          <cell r="I584">
            <v>0.10999999999999999</v>
          </cell>
          <cell r="J584">
            <v>495.49549549549556</v>
          </cell>
          <cell r="K584">
            <v>54.504504504504439</v>
          </cell>
          <cell r="L584">
            <v>4712578.3783783792</v>
          </cell>
          <cell r="M584">
            <v>518383.62162162084</v>
          </cell>
          <cell r="O584" t="str">
            <v>*</v>
          </cell>
          <cell r="P584">
            <v>0</v>
          </cell>
          <cell r="Q584">
            <v>0</v>
          </cell>
          <cell r="R584">
            <v>0</v>
          </cell>
          <cell r="S584">
            <v>4712578.3783783792</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4712578.3783783792</v>
          </cell>
          <cell r="AS584">
            <v>0</v>
          </cell>
        </row>
        <row r="585">
          <cell r="B585" t="str">
            <v>1T3(30F)</v>
          </cell>
          <cell r="C585" t="str">
            <v>幕墙测算面积</v>
          </cell>
          <cell r="D585" t="str">
            <v>m2</v>
          </cell>
          <cell r="E585">
            <v>12900.65</v>
          </cell>
          <cell r="F585">
            <v>550</v>
          </cell>
          <cell r="G585">
            <v>7095357.5</v>
          </cell>
          <cell r="H585">
            <v>0</v>
          </cell>
          <cell r="I585">
            <v>0.10999999999999999</v>
          </cell>
          <cell r="J585">
            <v>495.49549549549556</v>
          </cell>
          <cell r="K585">
            <v>54.504504504504439</v>
          </cell>
          <cell r="L585">
            <v>6392213.963963965</v>
          </cell>
          <cell r="M585">
            <v>703143.53603603505</v>
          </cell>
          <cell r="O585" t="str">
            <v>*</v>
          </cell>
          <cell r="P585">
            <v>0</v>
          </cell>
          <cell r="Q585">
            <v>0</v>
          </cell>
          <cell r="R585">
            <v>0</v>
          </cell>
          <cell r="S585">
            <v>0</v>
          </cell>
          <cell r="T585">
            <v>6392213.963963965</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6392213.963963965</v>
          </cell>
          <cell r="AS585">
            <v>0</v>
          </cell>
        </row>
        <row r="586">
          <cell r="B586" t="str">
            <v>LOFT(31F)</v>
          </cell>
          <cell r="C586" t="str">
            <v>幕墙测算面积</v>
          </cell>
          <cell r="D586" t="str">
            <v>m2</v>
          </cell>
          <cell r="E586">
            <v>0</v>
          </cell>
          <cell r="F586">
            <v>0</v>
          </cell>
          <cell r="G586">
            <v>0</v>
          </cell>
          <cell r="H586">
            <v>0</v>
          </cell>
          <cell r="I586">
            <v>0.10999999999999999</v>
          </cell>
          <cell r="J586">
            <v>0</v>
          </cell>
          <cell r="K586">
            <v>0</v>
          </cell>
          <cell r="L586">
            <v>0</v>
          </cell>
          <cell r="M586">
            <v>0</v>
          </cell>
          <cell r="O586" t="str">
            <v>*</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row>
        <row r="587">
          <cell r="B587" t="str">
            <v>1T2(31F)</v>
          </cell>
          <cell r="C587" t="str">
            <v>幕墙测算面积</v>
          </cell>
          <cell r="D587" t="str">
            <v>m2</v>
          </cell>
          <cell r="E587">
            <v>0</v>
          </cell>
          <cell r="F587">
            <v>0</v>
          </cell>
          <cell r="G587">
            <v>0</v>
          </cell>
          <cell r="H587">
            <v>0</v>
          </cell>
          <cell r="I587">
            <v>0.10999999999999999</v>
          </cell>
          <cell r="J587">
            <v>0</v>
          </cell>
          <cell r="K587">
            <v>0</v>
          </cell>
          <cell r="L587">
            <v>0</v>
          </cell>
          <cell r="M587">
            <v>0</v>
          </cell>
          <cell r="O587" t="str">
            <v>*</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row>
        <row r="588">
          <cell r="B588" t="str">
            <v>1T8(32F)</v>
          </cell>
          <cell r="C588" t="str">
            <v>幕墙测算面积</v>
          </cell>
          <cell r="D588" t="str">
            <v>m2</v>
          </cell>
          <cell r="E588">
            <v>0</v>
          </cell>
          <cell r="F588">
            <v>0</v>
          </cell>
          <cell r="G588">
            <v>0</v>
          </cell>
          <cell r="H588">
            <v>0</v>
          </cell>
          <cell r="I588">
            <v>0.10999999999999999</v>
          </cell>
          <cell r="J588">
            <v>0</v>
          </cell>
          <cell r="K588">
            <v>0</v>
          </cell>
          <cell r="L588">
            <v>0</v>
          </cell>
          <cell r="M588">
            <v>0</v>
          </cell>
          <cell r="O588" t="str">
            <v>*</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row>
        <row r="589">
          <cell r="B589" t="str">
            <v>中高层洋房</v>
          </cell>
          <cell r="C589" t="str">
            <v>幕墙测算面积</v>
          </cell>
          <cell r="D589" t="str">
            <v>m2</v>
          </cell>
          <cell r="E589">
            <v>0</v>
          </cell>
          <cell r="F589">
            <v>0</v>
          </cell>
          <cell r="G589">
            <v>0</v>
          </cell>
          <cell r="H589">
            <v>0</v>
          </cell>
          <cell r="I589">
            <v>0.10999999999999999</v>
          </cell>
          <cell r="J589">
            <v>0</v>
          </cell>
          <cell r="K589">
            <v>0</v>
          </cell>
          <cell r="L589">
            <v>0</v>
          </cell>
          <cell r="M589">
            <v>0</v>
          </cell>
          <cell r="O589" t="str">
            <v>*</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row>
        <row r="590">
          <cell r="B590" t="str">
            <v>115高层洋房</v>
          </cell>
          <cell r="C590" t="str">
            <v>幕墙测算面积</v>
          </cell>
          <cell r="D590" t="str">
            <v>m2</v>
          </cell>
          <cell r="E590">
            <v>0</v>
          </cell>
          <cell r="F590">
            <v>0</v>
          </cell>
          <cell r="G590">
            <v>0</v>
          </cell>
          <cell r="H590">
            <v>0</v>
          </cell>
          <cell r="I590">
            <v>0.10999999999999999</v>
          </cell>
          <cell r="J590">
            <v>0</v>
          </cell>
          <cell r="K590">
            <v>0</v>
          </cell>
          <cell r="L590">
            <v>0</v>
          </cell>
          <cell r="M590">
            <v>0</v>
          </cell>
          <cell r="O590" t="str">
            <v>*</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row>
        <row r="591">
          <cell r="B591" t="str">
            <v>超高层洋房</v>
          </cell>
          <cell r="C591" t="str">
            <v>幕墙测算面积</v>
          </cell>
          <cell r="D591" t="str">
            <v>m2</v>
          </cell>
          <cell r="E591">
            <v>0</v>
          </cell>
          <cell r="F591">
            <v>0</v>
          </cell>
          <cell r="G591">
            <v>0</v>
          </cell>
          <cell r="H591">
            <v>0</v>
          </cell>
          <cell r="I591">
            <v>0.10999999999999999</v>
          </cell>
          <cell r="J591">
            <v>0</v>
          </cell>
          <cell r="K591">
            <v>0</v>
          </cell>
          <cell r="L591">
            <v>0</v>
          </cell>
          <cell r="M591">
            <v>0</v>
          </cell>
          <cell r="O591" t="str">
            <v>*</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row>
        <row r="592">
          <cell r="B592" t="str">
            <v>公寓</v>
          </cell>
          <cell r="C592" t="str">
            <v>幕墙测算面积</v>
          </cell>
          <cell r="D592" t="str">
            <v>m2</v>
          </cell>
          <cell r="E592">
            <v>0</v>
          </cell>
          <cell r="F592">
            <v>0</v>
          </cell>
          <cell r="G592">
            <v>0</v>
          </cell>
          <cell r="H592">
            <v>0</v>
          </cell>
          <cell r="I592">
            <v>0.10999999999999999</v>
          </cell>
          <cell r="J592">
            <v>0</v>
          </cell>
          <cell r="K592">
            <v>0</v>
          </cell>
          <cell r="L592">
            <v>0</v>
          </cell>
          <cell r="M592">
            <v>0</v>
          </cell>
          <cell r="O592" t="str">
            <v>*</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row>
        <row r="593">
          <cell r="B593" t="str">
            <v>底商</v>
          </cell>
          <cell r="C593" t="str">
            <v>幕墙测算面积</v>
          </cell>
          <cell r="D593" t="str">
            <v>m2</v>
          </cell>
          <cell r="E593">
            <v>0</v>
          </cell>
          <cell r="F593">
            <v>0</v>
          </cell>
          <cell r="G593">
            <v>0</v>
          </cell>
          <cell r="H593">
            <v>0</v>
          </cell>
          <cell r="I593">
            <v>0.10999999999999999</v>
          </cell>
          <cell r="J593">
            <v>0</v>
          </cell>
          <cell r="K593">
            <v>0</v>
          </cell>
          <cell r="L593">
            <v>0</v>
          </cell>
          <cell r="M593">
            <v>0</v>
          </cell>
          <cell r="O593" t="str">
            <v>*</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row>
        <row r="594">
          <cell r="B594" t="str">
            <v>商业街</v>
          </cell>
          <cell r="C594" t="str">
            <v>幕墙测算面积</v>
          </cell>
          <cell r="D594" t="str">
            <v>m2</v>
          </cell>
          <cell r="E594">
            <v>0</v>
          </cell>
          <cell r="F594">
            <v>0</v>
          </cell>
          <cell r="G594">
            <v>0</v>
          </cell>
          <cell r="H594">
            <v>0</v>
          </cell>
          <cell r="I594">
            <v>0.10999999999999999</v>
          </cell>
          <cell r="J594">
            <v>0</v>
          </cell>
          <cell r="K594">
            <v>0</v>
          </cell>
          <cell r="L594">
            <v>0</v>
          </cell>
          <cell r="M594">
            <v>0</v>
          </cell>
          <cell r="O594" t="str">
            <v>*</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row>
        <row r="595">
          <cell r="B595" t="str">
            <v>综合楼</v>
          </cell>
          <cell r="C595" t="str">
            <v>幕墙测算面积</v>
          </cell>
          <cell r="D595" t="str">
            <v>m2</v>
          </cell>
          <cell r="E595">
            <v>0</v>
          </cell>
          <cell r="F595">
            <v>0</v>
          </cell>
          <cell r="G595">
            <v>0</v>
          </cell>
          <cell r="H595">
            <v>0</v>
          </cell>
          <cell r="I595">
            <v>0.10999999999999999</v>
          </cell>
          <cell r="J595">
            <v>0</v>
          </cell>
          <cell r="K595">
            <v>0</v>
          </cell>
          <cell r="L595">
            <v>0</v>
          </cell>
          <cell r="M595">
            <v>0</v>
          </cell>
          <cell r="O595" t="str">
            <v>*</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row>
        <row r="596">
          <cell r="B596" t="str">
            <v>写字楼</v>
          </cell>
          <cell r="C596" t="str">
            <v>幕墙测算面积</v>
          </cell>
          <cell r="D596" t="str">
            <v>m2</v>
          </cell>
          <cell r="E596">
            <v>0</v>
          </cell>
          <cell r="F596">
            <v>0</v>
          </cell>
          <cell r="G596">
            <v>0</v>
          </cell>
          <cell r="H596">
            <v>0</v>
          </cell>
          <cell r="I596">
            <v>0.10999999999999999</v>
          </cell>
          <cell r="J596">
            <v>0</v>
          </cell>
          <cell r="K596">
            <v>0</v>
          </cell>
          <cell r="L596">
            <v>0</v>
          </cell>
          <cell r="M596">
            <v>0</v>
          </cell>
          <cell r="O596" t="str">
            <v>*</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row>
        <row r="597">
          <cell r="B597" t="str">
            <v>酒店</v>
          </cell>
          <cell r="C597" t="str">
            <v>幕墙测算面积</v>
          </cell>
          <cell r="D597" t="str">
            <v>m2</v>
          </cell>
          <cell r="E597">
            <v>0</v>
          </cell>
          <cell r="F597">
            <v>0</v>
          </cell>
          <cell r="G597">
            <v>0</v>
          </cell>
          <cell r="H597">
            <v>0</v>
          </cell>
          <cell r="I597">
            <v>0.10999999999999999</v>
          </cell>
          <cell r="J597">
            <v>0</v>
          </cell>
          <cell r="K597">
            <v>0</v>
          </cell>
          <cell r="L597">
            <v>0</v>
          </cell>
          <cell r="M597">
            <v>0</v>
          </cell>
          <cell r="O597" t="str">
            <v>*</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row>
        <row r="598">
          <cell r="B598" t="str">
            <v>医院（自持）</v>
          </cell>
          <cell r="C598" t="str">
            <v>幕墙测算面积</v>
          </cell>
          <cell r="D598" t="str">
            <v>m2</v>
          </cell>
          <cell r="E598">
            <v>0</v>
          </cell>
          <cell r="F598">
            <v>0</v>
          </cell>
          <cell r="G598">
            <v>0</v>
          </cell>
          <cell r="H598">
            <v>0</v>
          </cell>
          <cell r="I598">
            <v>0.10999999999999999</v>
          </cell>
          <cell r="J598">
            <v>0</v>
          </cell>
          <cell r="K598">
            <v>0</v>
          </cell>
          <cell r="L598">
            <v>0</v>
          </cell>
          <cell r="M598">
            <v>0</v>
          </cell>
          <cell r="O598" t="str">
            <v>*</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row>
        <row r="599">
          <cell r="B599" t="str">
            <v>地上计容车库</v>
          </cell>
          <cell r="C599" t="str">
            <v>幕墙测算面积</v>
          </cell>
          <cell r="D599" t="str">
            <v>m2</v>
          </cell>
          <cell r="E599">
            <v>0</v>
          </cell>
          <cell r="F599">
            <v>0</v>
          </cell>
          <cell r="G599">
            <v>0</v>
          </cell>
          <cell r="H599">
            <v>0</v>
          </cell>
          <cell r="I599">
            <v>0.10999999999999999</v>
          </cell>
          <cell r="J599">
            <v>0</v>
          </cell>
          <cell r="K599">
            <v>0</v>
          </cell>
          <cell r="L599">
            <v>0</v>
          </cell>
          <cell r="M599">
            <v>0</v>
          </cell>
          <cell r="O599" t="str">
            <v>*</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row>
        <row r="600">
          <cell r="B600" t="str">
            <v>非人防地下室</v>
          </cell>
          <cell r="C600" t="str">
            <v>幕墙测算面积</v>
          </cell>
          <cell r="D600" t="str">
            <v>m2</v>
          </cell>
          <cell r="E600">
            <v>0</v>
          </cell>
          <cell r="F600">
            <v>0</v>
          </cell>
          <cell r="G600">
            <v>0</v>
          </cell>
          <cell r="H600">
            <v>0</v>
          </cell>
          <cell r="I600">
            <v>0.10999999999999999</v>
          </cell>
          <cell r="J600">
            <v>0</v>
          </cell>
          <cell r="K600">
            <v>0</v>
          </cell>
          <cell r="L600">
            <v>0</v>
          </cell>
          <cell r="M600">
            <v>0</v>
          </cell>
          <cell r="O600" t="str">
            <v>*</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row>
        <row r="601">
          <cell r="B601" t="str">
            <v>人防地下室</v>
          </cell>
          <cell r="C601" t="str">
            <v>幕墙测算面积</v>
          </cell>
          <cell r="D601" t="str">
            <v>m2</v>
          </cell>
          <cell r="E601">
            <v>0</v>
          </cell>
          <cell r="F601">
            <v>0</v>
          </cell>
          <cell r="G601">
            <v>0</v>
          </cell>
          <cell r="H601">
            <v>0</v>
          </cell>
          <cell r="I601">
            <v>0.10999999999999999</v>
          </cell>
          <cell r="J601">
            <v>0</v>
          </cell>
          <cell r="K601">
            <v>0</v>
          </cell>
          <cell r="L601">
            <v>0</v>
          </cell>
          <cell r="M601">
            <v>0</v>
          </cell>
          <cell r="O601" t="str">
            <v>*</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row>
        <row r="602">
          <cell r="B602" t="str">
            <v>独立会所（综合楼）</v>
          </cell>
          <cell r="C602" t="str">
            <v>幕墙测算面积</v>
          </cell>
          <cell r="D602" t="str">
            <v>m2</v>
          </cell>
          <cell r="E602">
            <v>0</v>
          </cell>
          <cell r="F602">
            <v>0</v>
          </cell>
          <cell r="G602">
            <v>0</v>
          </cell>
          <cell r="H602">
            <v>0</v>
          </cell>
          <cell r="I602">
            <v>0.10999999999999999</v>
          </cell>
          <cell r="J602">
            <v>0</v>
          </cell>
          <cell r="K602">
            <v>0</v>
          </cell>
          <cell r="L602">
            <v>0</v>
          </cell>
          <cell r="M602">
            <v>0</v>
          </cell>
          <cell r="O602" t="str">
            <v>*</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row>
        <row r="603">
          <cell r="B603" t="str">
            <v>活动中心</v>
          </cell>
          <cell r="C603" t="str">
            <v>幕墙测算面积</v>
          </cell>
          <cell r="D603" t="str">
            <v>m2</v>
          </cell>
          <cell r="E603">
            <v>0</v>
          </cell>
          <cell r="F603">
            <v>0</v>
          </cell>
          <cell r="G603">
            <v>0</v>
          </cell>
          <cell r="H603">
            <v>0</v>
          </cell>
          <cell r="I603">
            <v>0.10999999999999999</v>
          </cell>
          <cell r="J603">
            <v>0</v>
          </cell>
          <cell r="K603">
            <v>0</v>
          </cell>
          <cell r="L603">
            <v>0</v>
          </cell>
          <cell r="M603">
            <v>0</v>
          </cell>
          <cell r="O603" t="str">
            <v>*</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row>
        <row r="604">
          <cell r="B604" t="str">
            <v>商贸市场</v>
          </cell>
          <cell r="C604" t="str">
            <v>幕墙测算面积</v>
          </cell>
          <cell r="D604" t="str">
            <v>m2</v>
          </cell>
          <cell r="E604">
            <v>0</v>
          </cell>
          <cell r="F604">
            <v>0</v>
          </cell>
          <cell r="G604">
            <v>0</v>
          </cell>
          <cell r="H604">
            <v>0</v>
          </cell>
          <cell r="I604">
            <v>0.10999999999999999</v>
          </cell>
          <cell r="J604">
            <v>0</v>
          </cell>
          <cell r="K604">
            <v>0</v>
          </cell>
          <cell r="L604">
            <v>0</v>
          </cell>
          <cell r="M604">
            <v>0</v>
          </cell>
          <cell r="O604" t="str">
            <v>*</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row>
        <row r="605">
          <cell r="B605" t="str">
            <v>医院</v>
          </cell>
          <cell r="C605" t="str">
            <v>幕墙测算面积</v>
          </cell>
          <cell r="D605" t="str">
            <v>m2</v>
          </cell>
          <cell r="E605">
            <v>0</v>
          </cell>
          <cell r="F605">
            <v>0</v>
          </cell>
          <cell r="G605">
            <v>0</v>
          </cell>
          <cell r="H605">
            <v>0</v>
          </cell>
          <cell r="I605">
            <v>0.10999999999999999</v>
          </cell>
          <cell r="J605">
            <v>0</v>
          </cell>
          <cell r="K605">
            <v>0</v>
          </cell>
          <cell r="L605">
            <v>0</v>
          </cell>
          <cell r="M605">
            <v>0</v>
          </cell>
          <cell r="O605" t="str">
            <v>*</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row>
        <row r="606">
          <cell r="B606" t="str">
            <v>幼儿园</v>
          </cell>
          <cell r="C606" t="str">
            <v>幕墙测算面积</v>
          </cell>
          <cell r="D606" t="str">
            <v>m2</v>
          </cell>
          <cell r="E606">
            <v>0</v>
          </cell>
          <cell r="F606">
            <v>0</v>
          </cell>
          <cell r="G606">
            <v>0</v>
          </cell>
          <cell r="H606">
            <v>0</v>
          </cell>
          <cell r="I606">
            <v>0.10999999999999999</v>
          </cell>
          <cell r="J606">
            <v>0</v>
          </cell>
          <cell r="K606">
            <v>0</v>
          </cell>
          <cell r="L606">
            <v>0</v>
          </cell>
          <cell r="M606">
            <v>0</v>
          </cell>
          <cell r="O606" t="str">
            <v>*</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row>
        <row r="607">
          <cell r="B607" t="str">
            <v>学校</v>
          </cell>
          <cell r="C607" t="str">
            <v>幕墙测算面积</v>
          </cell>
          <cell r="D607" t="str">
            <v>m2</v>
          </cell>
          <cell r="E607">
            <v>0</v>
          </cell>
          <cell r="F607">
            <v>0</v>
          </cell>
          <cell r="G607">
            <v>0</v>
          </cell>
          <cell r="H607">
            <v>0</v>
          </cell>
          <cell r="I607">
            <v>0.10999999999999999</v>
          </cell>
          <cell r="J607">
            <v>0</v>
          </cell>
          <cell r="K607">
            <v>0</v>
          </cell>
          <cell r="L607">
            <v>0</v>
          </cell>
          <cell r="M607">
            <v>0</v>
          </cell>
          <cell r="O607" t="str">
            <v>*</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row>
        <row r="608">
          <cell r="B608" t="str">
            <v>员工宿舍</v>
          </cell>
          <cell r="C608" t="str">
            <v>幕墙测算面积</v>
          </cell>
          <cell r="D608" t="str">
            <v>m2</v>
          </cell>
          <cell r="E608">
            <v>0</v>
          </cell>
          <cell r="F608">
            <v>0</v>
          </cell>
          <cell r="G608">
            <v>0</v>
          </cell>
          <cell r="H608">
            <v>0</v>
          </cell>
          <cell r="I608">
            <v>0.10999999999999999</v>
          </cell>
          <cell r="J608">
            <v>0</v>
          </cell>
          <cell r="K608">
            <v>0</v>
          </cell>
          <cell r="L608">
            <v>0</v>
          </cell>
          <cell r="M608">
            <v>0</v>
          </cell>
          <cell r="O608" t="str">
            <v>*</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row>
        <row r="609">
          <cell r="B609" t="str">
            <v>外立面涂料装修</v>
          </cell>
          <cell r="C609" t="str">
            <v>地上建筑面积</v>
          </cell>
          <cell r="D609" t="str">
            <v>m2</v>
          </cell>
          <cell r="E609">
            <v>154715.32</v>
          </cell>
          <cell r="F609">
            <v>127.38138356304985</v>
          </cell>
          <cell r="G609">
            <v>19707851.52</v>
          </cell>
          <cell r="I609">
            <v>0.10999999999999981</v>
          </cell>
          <cell r="J609">
            <v>114.75800320995485</v>
          </cell>
          <cell r="K609">
            <v>12.623380353095001</v>
          </cell>
          <cell r="L609">
            <v>17754821.189189192</v>
          </cell>
          <cell r="M609">
            <v>1953030.3308108076</v>
          </cell>
          <cell r="P609">
            <v>0</v>
          </cell>
          <cell r="Q609">
            <v>3416643.2432432435</v>
          </cell>
          <cell r="R609">
            <v>295725.40540540544</v>
          </cell>
          <cell r="S609">
            <v>11383035.243243244</v>
          </cell>
          <cell r="T609">
            <v>2659417.2972972975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17754821.189189192</v>
          </cell>
          <cell r="AS609">
            <v>0</v>
          </cell>
        </row>
        <row r="610">
          <cell r="B610">
            <v>100</v>
          </cell>
          <cell r="C610" t="str">
            <v>涂料施工面积</v>
          </cell>
          <cell r="D610" t="str">
            <v>m2</v>
          </cell>
          <cell r="E610">
            <v>0</v>
          </cell>
          <cell r="F610">
            <v>0</v>
          </cell>
          <cell r="G610">
            <v>0</v>
          </cell>
          <cell r="H610">
            <v>0</v>
          </cell>
          <cell r="I610">
            <v>0.10999999999999999</v>
          </cell>
          <cell r="J610">
            <v>0</v>
          </cell>
          <cell r="K610">
            <v>0</v>
          </cell>
          <cell r="L610">
            <v>0</v>
          </cell>
          <cell r="M610">
            <v>0</v>
          </cell>
          <cell r="N610" t="str">
            <v>参照区域已结算项目系数按1.8，考虑参照外墙采用真石漆，单价按78元/m2</v>
          </cell>
          <cell r="O610" t="str">
            <v>*</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row>
        <row r="611">
          <cell r="B611">
            <v>125</v>
          </cell>
          <cell r="C611" t="str">
            <v>涂料施工面积</v>
          </cell>
          <cell r="D611" t="str">
            <v>m2</v>
          </cell>
          <cell r="E611">
            <v>48006</v>
          </cell>
          <cell r="F611">
            <v>79</v>
          </cell>
          <cell r="G611">
            <v>3792474</v>
          </cell>
          <cell r="H611">
            <v>0</v>
          </cell>
          <cell r="I611">
            <v>0.10999999999999999</v>
          </cell>
          <cell r="J611">
            <v>71.171171171171181</v>
          </cell>
          <cell r="K611">
            <v>7.8288288288288186</v>
          </cell>
          <cell r="L611">
            <v>3416643.2432432435</v>
          </cell>
          <cell r="M611">
            <v>375830.75675675645</v>
          </cell>
          <cell r="O611" t="str">
            <v>*</v>
          </cell>
          <cell r="P611">
            <v>0</v>
          </cell>
          <cell r="Q611">
            <v>3416643.2432432435</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3416643.2432432435</v>
          </cell>
          <cell r="AS611">
            <v>0</v>
          </cell>
        </row>
        <row r="612">
          <cell r="B612">
            <v>150</v>
          </cell>
          <cell r="C612" t="str">
            <v>涂料施工面积</v>
          </cell>
          <cell r="D612" t="str">
            <v>m2</v>
          </cell>
          <cell r="E612">
            <v>4208.4000000000005</v>
          </cell>
          <cell r="F612">
            <v>78</v>
          </cell>
          <cell r="G612">
            <v>328255.20000000007</v>
          </cell>
          <cell r="H612">
            <v>0</v>
          </cell>
          <cell r="I612">
            <v>0.10999999999999999</v>
          </cell>
          <cell r="J612">
            <v>70.270270270270274</v>
          </cell>
          <cell r="K612">
            <v>7.7297297297297263</v>
          </cell>
          <cell r="L612">
            <v>295725.40540540544</v>
          </cell>
          <cell r="M612">
            <v>32529.794594594627</v>
          </cell>
          <cell r="N612" t="str">
            <v>参照区域已结算项目系数按1.8，考虑参照外墙采用真石漆，单价按78元/m2</v>
          </cell>
          <cell r="O612" t="str">
            <v>*</v>
          </cell>
          <cell r="P612">
            <v>0</v>
          </cell>
          <cell r="Q612">
            <v>0</v>
          </cell>
          <cell r="R612">
            <v>295725.40540540544</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295725.40540540544</v>
          </cell>
          <cell r="AS612">
            <v>0</v>
          </cell>
        </row>
        <row r="613">
          <cell r="B613" t="str">
            <v>1T4(30F)</v>
          </cell>
          <cell r="C613" t="str">
            <v>涂料施工面积</v>
          </cell>
          <cell r="D613" t="str">
            <v>m2</v>
          </cell>
          <cell r="E613">
            <v>180502.416</v>
          </cell>
          <cell r="F613">
            <v>70</v>
          </cell>
          <cell r="G613">
            <v>12635169.119999999</v>
          </cell>
          <cell r="H613">
            <v>0</v>
          </cell>
          <cell r="I613">
            <v>0.10999999999999999</v>
          </cell>
          <cell r="J613">
            <v>63.063063063063069</v>
          </cell>
          <cell r="K613">
            <v>6.9369369369369309</v>
          </cell>
          <cell r="L613">
            <v>11383035.243243244</v>
          </cell>
          <cell r="M613">
            <v>1252133.8767567556</v>
          </cell>
          <cell r="O613" t="str">
            <v>*</v>
          </cell>
          <cell r="P613">
            <v>0</v>
          </cell>
          <cell r="Q613">
            <v>0</v>
          </cell>
          <cell r="R613">
            <v>0</v>
          </cell>
          <cell r="S613">
            <v>11383035.243243244</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11383035.243243244</v>
          </cell>
          <cell r="AS613">
            <v>0</v>
          </cell>
        </row>
        <row r="614">
          <cell r="B614" t="str">
            <v>1T3(30F)</v>
          </cell>
          <cell r="C614" t="str">
            <v>涂料施工面积</v>
          </cell>
          <cell r="D614" t="str">
            <v>m2</v>
          </cell>
          <cell r="E614">
            <v>42170.76</v>
          </cell>
          <cell r="F614">
            <v>70</v>
          </cell>
          <cell r="G614">
            <v>2951953.2</v>
          </cell>
          <cell r="H614">
            <v>0</v>
          </cell>
          <cell r="I614">
            <v>0.10999999999999999</v>
          </cell>
          <cell r="J614">
            <v>63.063063063063069</v>
          </cell>
          <cell r="K614">
            <v>6.9369369369369309</v>
          </cell>
          <cell r="L614">
            <v>2659417.2972972975</v>
          </cell>
          <cell r="M614">
            <v>292535.90270270268</v>
          </cell>
          <cell r="N614" t="str">
            <v>参照区域已结算项目系数按1.8，考虑参照外墙采用真石漆，单价按78元/m2</v>
          </cell>
          <cell r="O614" t="str">
            <v>*</v>
          </cell>
          <cell r="P614">
            <v>0</v>
          </cell>
          <cell r="Q614">
            <v>0</v>
          </cell>
          <cell r="R614">
            <v>0</v>
          </cell>
          <cell r="S614">
            <v>0</v>
          </cell>
          <cell r="T614">
            <v>2659417.2972972975</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2659417.2972972975</v>
          </cell>
          <cell r="AS614">
            <v>0</v>
          </cell>
        </row>
        <row r="615">
          <cell r="B615" t="str">
            <v>LOFT(31F)</v>
          </cell>
          <cell r="C615" t="str">
            <v>涂料施工面积</v>
          </cell>
          <cell r="D615" t="str">
            <v>m2</v>
          </cell>
          <cell r="E615">
            <v>0</v>
          </cell>
          <cell r="F615">
            <v>0</v>
          </cell>
          <cell r="G615">
            <v>0</v>
          </cell>
          <cell r="H615">
            <v>0</v>
          </cell>
          <cell r="I615">
            <v>0.10999999999999999</v>
          </cell>
          <cell r="J615">
            <v>0</v>
          </cell>
          <cell r="K615">
            <v>0</v>
          </cell>
          <cell r="L615">
            <v>0</v>
          </cell>
          <cell r="M615">
            <v>0</v>
          </cell>
          <cell r="O615" t="str">
            <v>*</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row>
        <row r="616">
          <cell r="B616" t="str">
            <v>1T2(31F)</v>
          </cell>
          <cell r="C616" t="str">
            <v>涂料施工面积</v>
          </cell>
          <cell r="D616" t="str">
            <v>m2</v>
          </cell>
          <cell r="E616">
            <v>0</v>
          </cell>
          <cell r="F616">
            <v>0</v>
          </cell>
          <cell r="G616">
            <v>0</v>
          </cell>
          <cell r="H616">
            <v>0</v>
          </cell>
          <cell r="I616">
            <v>0.10999999999999999</v>
          </cell>
          <cell r="J616">
            <v>0</v>
          </cell>
          <cell r="K616">
            <v>0</v>
          </cell>
          <cell r="L616">
            <v>0</v>
          </cell>
          <cell r="M616">
            <v>0</v>
          </cell>
          <cell r="O616" t="str">
            <v>*</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row>
        <row r="617">
          <cell r="B617" t="str">
            <v>1T8(32F)</v>
          </cell>
          <cell r="C617" t="str">
            <v>涂料施工面积</v>
          </cell>
          <cell r="D617" t="str">
            <v>m2</v>
          </cell>
          <cell r="E617">
            <v>0</v>
          </cell>
          <cell r="F617">
            <v>0</v>
          </cell>
          <cell r="G617">
            <v>0</v>
          </cell>
          <cell r="H617">
            <v>0</v>
          </cell>
          <cell r="I617">
            <v>0.10999999999999999</v>
          </cell>
          <cell r="J617">
            <v>0</v>
          </cell>
          <cell r="K617">
            <v>0</v>
          </cell>
          <cell r="L617">
            <v>0</v>
          </cell>
          <cell r="M617">
            <v>0</v>
          </cell>
          <cell r="O617" t="str">
            <v>*</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row>
        <row r="618">
          <cell r="B618" t="str">
            <v>中高层洋房</v>
          </cell>
          <cell r="C618" t="str">
            <v>涂料施工面积</v>
          </cell>
          <cell r="D618" t="str">
            <v>m2</v>
          </cell>
          <cell r="E618">
            <v>0</v>
          </cell>
          <cell r="F618">
            <v>0</v>
          </cell>
          <cell r="G618">
            <v>0</v>
          </cell>
          <cell r="H618">
            <v>0</v>
          </cell>
          <cell r="I618">
            <v>0.10999999999999999</v>
          </cell>
          <cell r="J618">
            <v>0</v>
          </cell>
          <cell r="K618">
            <v>0</v>
          </cell>
          <cell r="L618">
            <v>0</v>
          </cell>
          <cell r="M618">
            <v>0</v>
          </cell>
          <cell r="O618" t="str">
            <v>*</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row>
        <row r="619">
          <cell r="B619" t="str">
            <v>115高层洋房</v>
          </cell>
          <cell r="C619" t="str">
            <v>涂料施工面积</v>
          </cell>
          <cell r="D619" t="str">
            <v>m2</v>
          </cell>
          <cell r="E619">
            <v>0</v>
          </cell>
          <cell r="F619">
            <v>0</v>
          </cell>
          <cell r="G619">
            <v>0</v>
          </cell>
          <cell r="H619">
            <v>0</v>
          </cell>
          <cell r="I619">
            <v>0.10999999999999999</v>
          </cell>
          <cell r="J619">
            <v>0</v>
          </cell>
          <cell r="K619">
            <v>0</v>
          </cell>
          <cell r="L619">
            <v>0</v>
          </cell>
          <cell r="M619">
            <v>0</v>
          </cell>
          <cell r="N619" t="str">
            <v>系数按1.28，考虑参照外墙采用真石漆，单价按78元/m2</v>
          </cell>
          <cell r="O619" t="str">
            <v>*</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row>
        <row r="620">
          <cell r="B620" t="str">
            <v>超高层洋房</v>
          </cell>
          <cell r="C620" t="str">
            <v>涂料施工面积</v>
          </cell>
          <cell r="D620" t="str">
            <v>m2</v>
          </cell>
          <cell r="E620">
            <v>0</v>
          </cell>
          <cell r="F620">
            <v>0</v>
          </cell>
          <cell r="G620">
            <v>0</v>
          </cell>
          <cell r="H620">
            <v>0</v>
          </cell>
          <cell r="I620">
            <v>0.10999999999999999</v>
          </cell>
          <cell r="J620">
            <v>0</v>
          </cell>
          <cell r="K620">
            <v>0</v>
          </cell>
          <cell r="L620">
            <v>0</v>
          </cell>
          <cell r="M620">
            <v>0</v>
          </cell>
          <cell r="O620" t="str">
            <v>*</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row>
        <row r="621">
          <cell r="B621" t="str">
            <v>公寓</v>
          </cell>
          <cell r="C621" t="str">
            <v>涂料施工面积</v>
          </cell>
          <cell r="D621" t="str">
            <v>m2</v>
          </cell>
          <cell r="E621">
            <v>0</v>
          </cell>
          <cell r="F621">
            <v>0</v>
          </cell>
          <cell r="G621">
            <v>0</v>
          </cell>
          <cell r="H621">
            <v>0</v>
          </cell>
          <cell r="I621">
            <v>0.10999999999999999</v>
          </cell>
          <cell r="J621">
            <v>0</v>
          </cell>
          <cell r="K621">
            <v>0</v>
          </cell>
          <cell r="L621">
            <v>0</v>
          </cell>
          <cell r="M621">
            <v>0</v>
          </cell>
          <cell r="O621" t="str">
            <v>*</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row>
        <row r="622">
          <cell r="B622" t="str">
            <v>底商</v>
          </cell>
          <cell r="C622" t="str">
            <v>涂料施工面积</v>
          </cell>
          <cell r="D622" t="str">
            <v>m2</v>
          </cell>
          <cell r="E622">
            <v>0</v>
          </cell>
          <cell r="F622">
            <v>0</v>
          </cell>
          <cell r="G622">
            <v>0</v>
          </cell>
          <cell r="H622">
            <v>0</v>
          </cell>
          <cell r="I622">
            <v>0.10999999999999999</v>
          </cell>
          <cell r="J622">
            <v>0</v>
          </cell>
          <cell r="K622">
            <v>0</v>
          </cell>
          <cell r="L622">
            <v>0</v>
          </cell>
          <cell r="M622">
            <v>0</v>
          </cell>
          <cell r="O622" t="str">
            <v>*</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row>
        <row r="623">
          <cell r="B623" t="str">
            <v>商业街</v>
          </cell>
          <cell r="C623" t="str">
            <v>涂料施工面积</v>
          </cell>
          <cell r="D623" t="str">
            <v>m2</v>
          </cell>
          <cell r="E623">
            <v>0</v>
          </cell>
          <cell r="F623">
            <v>0</v>
          </cell>
          <cell r="G623">
            <v>0</v>
          </cell>
          <cell r="H623">
            <v>0</v>
          </cell>
          <cell r="I623">
            <v>0.10999999999999999</v>
          </cell>
          <cell r="J623">
            <v>0</v>
          </cell>
          <cell r="K623">
            <v>0</v>
          </cell>
          <cell r="L623">
            <v>0</v>
          </cell>
          <cell r="M623">
            <v>0</v>
          </cell>
          <cell r="O623" t="str">
            <v>*</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row>
        <row r="624">
          <cell r="B624" t="str">
            <v>综合楼</v>
          </cell>
          <cell r="C624" t="str">
            <v>涂料施工面积</v>
          </cell>
          <cell r="D624" t="str">
            <v>m2</v>
          </cell>
          <cell r="E624">
            <v>0</v>
          </cell>
          <cell r="F624">
            <v>0</v>
          </cell>
          <cell r="G624">
            <v>0</v>
          </cell>
          <cell r="H624">
            <v>0</v>
          </cell>
          <cell r="I624">
            <v>0.10999999999999999</v>
          </cell>
          <cell r="J624">
            <v>0</v>
          </cell>
          <cell r="K624">
            <v>0</v>
          </cell>
          <cell r="L624">
            <v>0</v>
          </cell>
          <cell r="M624">
            <v>0</v>
          </cell>
          <cell r="O624" t="str">
            <v>*</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row>
        <row r="625">
          <cell r="B625" t="str">
            <v>写字楼</v>
          </cell>
          <cell r="C625" t="str">
            <v>涂料施工面积</v>
          </cell>
          <cell r="D625" t="str">
            <v>m2</v>
          </cell>
          <cell r="E625">
            <v>0</v>
          </cell>
          <cell r="F625">
            <v>0</v>
          </cell>
          <cell r="G625">
            <v>0</v>
          </cell>
          <cell r="H625">
            <v>0</v>
          </cell>
          <cell r="I625">
            <v>0.10999999999999999</v>
          </cell>
          <cell r="J625">
            <v>0</v>
          </cell>
          <cell r="K625">
            <v>0</v>
          </cell>
          <cell r="L625">
            <v>0</v>
          </cell>
          <cell r="M625">
            <v>0</v>
          </cell>
          <cell r="O625" t="str">
            <v>*</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row>
        <row r="626">
          <cell r="B626" t="str">
            <v>酒店</v>
          </cell>
          <cell r="C626" t="str">
            <v>涂料施工面积</v>
          </cell>
          <cell r="D626" t="str">
            <v>m2</v>
          </cell>
          <cell r="E626">
            <v>0</v>
          </cell>
          <cell r="F626">
            <v>0</v>
          </cell>
          <cell r="G626">
            <v>0</v>
          </cell>
          <cell r="H626">
            <v>0</v>
          </cell>
          <cell r="I626">
            <v>0.10999999999999999</v>
          </cell>
          <cell r="J626">
            <v>0</v>
          </cell>
          <cell r="K626">
            <v>0</v>
          </cell>
          <cell r="L626">
            <v>0</v>
          </cell>
          <cell r="M626">
            <v>0</v>
          </cell>
          <cell r="O626" t="str">
            <v>*</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row>
        <row r="627">
          <cell r="B627" t="str">
            <v>医院（自持）</v>
          </cell>
          <cell r="C627" t="str">
            <v>涂料施工面积</v>
          </cell>
          <cell r="D627" t="str">
            <v>m2</v>
          </cell>
          <cell r="E627">
            <v>0</v>
          </cell>
          <cell r="F627">
            <v>0</v>
          </cell>
          <cell r="G627">
            <v>0</v>
          </cell>
          <cell r="H627">
            <v>0</v>
          </cell>
          <cell r="I627">
            <v>0.10999999999999999</v>
          </cell>
          <cell r="J627">
            <v>0</v>
          </cell>
          <cell r="K627">
            <v>0</v>
          </cell>
          <cell r="L627">
            <v>0</v>
          </cell>
          <cell r="M627">
            <v>0</v>
          </cell>
          <cell r="O627" t="str">
            <v>*</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row>
        <row r="628">
          <cell r="B628" t="str">
            <v>地上计容车库</v>
          </cell>
          <cell r="C628" t="str">
            <v>涂料施工面积</v>
          </cell>
          <cell r="D628" t="str">
            <v>m2</v>
          </cell>
          <cell r="E628">
            <v>0</v>
          </cell>
          <cell r="F628">
            <v>0</v>
          </cell>
          <cell r="G628">
            <v>0</v>
          </cell>
          <cell r="H628">
            <v>0</v>
          </cell>
          <cell r="I628">
            <v>0.10999999999999999</v>
          </cell>
          <cell r="J628">
            <v>0</v>
          </cell>
          <cell r="K628">
            <v>0</v>
          </cell>
          <cell r="L628">
            <v>0</v>
          </cell>
          <cell r="M628">
            <v>0</v>
          </cell>
          <cell r="O628" t="str">
            <v>*</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row>
        <row r="629">
          <cell r="B629" t="str">
            <v>非人防地下室</v>
          </cell>
          <cell r="C629" t="str">
            <v>涂料施工面积</v>
          </cell>
          <cell r="D629" t="str">
            <v>m2</v>
          </cell>
          <cell r="E629">
            <v>0</v>
          </cell>
          <cell r="F629">
            <v>0</v>
          </cell>
          <cell r="G629">
            <v>0</v>
          </cell>
          <cell r="H629">
            <v>0</v>
          </cell>
          <cell r="I629">
            <v>0.10999999999999999</v>
          </cell>
          <cell r="J629">
            <v>0</v>
          </cell>
          <cell r="K629">
            <v>0</v>
          </cell>
          <cell r="L629">
            <v>0</v>
          </cell>
          <cell r="M629">
            <v>0</v>
          </cell>
          <cell r="O629" t="str">
            <v>*</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row>
        <row r="630">
          <cell r="B630" t="str">
            <v>人防地下室</v>
          </cell>
          <cell r="C630" t="str">
            <v>涂料施工面积</v>
          </cell>
          <cell r="D630" t="str">
            <v>m2</v>
          </cell>
          <cell r="E630">
            <v>0</v>
          </cell>
          <cell r="F630">
            <v>0</v>
          </cell>
          <cell r="G630">
            <v>0</v>
          </cell>
          <cell r="H630">
            <v>0</v>
          </cell>
          <cell r="I630">
            <v>0.10999999999999999</v>
          </cell>
          <cell r="J630">
            <v>0</v>
          </cell>
          <cell r="K630">
            <v>0</v>
          </cell>
          <cell r="L630">
            <v>0</v>
          </cell>
          <cell r="M630">
            <v>0</v>
          </cell>
          <cell r="O630" t="str">
            <v>*</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row>
        <row r="631">
          <cell r="B631" t="str">
            <v>独立会所（综合楼）</v>
          </cell>
          <cell r="C631" t="str">
            <v>涂料施工面积</v>
          </cell>
          <cell r="D631" t="str">
            <v>m2</v>
          </cell>
          <cell r="E631">
            <v>0</v>
          </cell>
          <cell r="F631">
            <v>0</v>
          </cell>
          <cell r="G631">
            <v>0</v>
          </cell>
          <cell r="H631">
            <v>0</v>
          </cell>
          <cell r="I631">
            <v>0.10999999999999999</v>
          </cell>
          <cell r="J631">
            <v>0</v>
          </cell>
          <cell r="K631">
            <v>0</v>
          </cell>
          <cell r="L631">
            <v>0</v>
          </cell>
          <cell r="M631">
            <v>0</v>
          </cell>
          <cell r="O631" t="str">
            <v>*</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row>
        <row r="632">
          <cell r="B632" t="str">
            <v>活动中心</v>
          </cell>
          <cell r="C632" t="str">
            <v>涂料施工面积</v>
          </cell>
          <cell r="D632" t="str">
            <v>m2</v>
          </cell>
          <cell r="E632">
            <v>0</v>
          </cell>
          <cell r="F632">
            <v>0</v>
          </cell>
          <cell r="G632">
            <v>0</v>
          </cell>
          <cell r="H632">
            <v>0</v>
          </cell>
          <cell r="I632">
            <v>0.10999999999999999</v>
          </cell>
          <cell r="J632">
            <v>0</v>
          </cell>
          <cell r="K632">
            <v>0</v>
          </cell>
          <cell r="L632">
            <v>0</v>
          </cell>
          <cell r="M632">
            <v>0</v>
          </cell>
          <cell r="O632" t="str">
            <v>*</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row>
        <row r="633">
          <cell r="B633" t="str">
            <v>商贸市场</v>
          </cell>
          <cell r="C633" t="str">
            <v>涂料施工面积</v>
          </cell>
          <cell r="D633" t="str">
            <v>m2</v>
          </cell>
          <cell r="E633">
            <v>0</v>
          </cell>
          <cell r="F633">
            <v>0</v>
          </cell>
          <cell r="G633">
            <v>0</v>
          </cell>
          <cell r="H633">
            <v>0</v>
          </cell>
          <cell r="I633">
            <v>0.10999999999999999</v>
          </cell>
          <cell r="J633">
            <v>0</v>
          </cell>
          <cell r="K633">
            <v>0</v>
          </cell>
          <cell r="L633">
            <v>0</v>
          </cell>
          <cell r="M633">
            <v>0</v>
          </cell>
          <cell r="O633" t="str">
            <v>*</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row>
        <row r="634">
          <cell r="B634" t="str">
            <v>医院</v>
          </cell>
          <cell r="C634" t="str">
            <v>涂料施工面积</v>
          </cell>
          <cell r="D634" t="str">
            <v>m2</v>
          </cell>
          <cell r="E634">
            <v>0</v>
          </cell>
          <cell r="F634">
            <v>0</v>
          </cell>
          <cell r="G634">
            <v>0</v>
          </cell>
          <cell r="H634">
            <v>0</v>
          </cell>
          <cell r="I634">
            <v>0.10999999999999999</v>
          </cell>
          <cell r="J634">
            <v>0</v>
          </cell>
          <cell r="K634">
            <v>0</v>
          </cell>
          <cell r="L634">
            <v>0</v>
          </cell>
          <cell r="M634">
            <v>0</v>
          </cell>
          <cell r="O634" t="str">
            <v>*</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row>
        <row r="635">
          <cell r="B635" t="str">
            <v>幼儿园</v>
          </cell>
          <cell r="C635" t="str">
            <v>涂料施工面积</v>
          </cell>
          <cell r="D635" t="str">
            <v>m2</v>
          </cell>
          <cell r="E635">
            <v>0</v>
          </cell>
          <cell r="F635">
            <v>0</v>
          </cell>
          <cell r="G635">
            <v>0</v>
          </cell>
          <cell r="H635">
            <v>0</v>
          </cell>
          <cell r="I635">
            <v>0.10999999999999999</v>
          </cell>
          <cell r="J635">
            <v>0</v>
          </cell>
          <cell r="K635">
            <v>0</v>
          </cell>
          <cell r="L635">
            <v>0</v>
          </cell>
          <cell r="M635">
            <v>0</v>
          </cell>
          <cell r="O635" t="str">
            <v>*</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row>
        <row r="636">
          <cell r="B636" t="str">
            <v>学校</v>
          </cell>
          <cell r="C636" t="str">
            <v>涂料施工面积</v>
          </cell>
          <cell r="D636" t="str">
            <v>m2</v>
          </cell>
          <cell r="E636">
            <v>0</v>
          </cell>
          <cell r="F636">
            <v>0</v>
          </cell>
          <cell r="G636">
            <v>0</v>
          </cell>
          <cell r="H636">
            <v>0</v>
          </cell>
          <cell r="I636">
            <v>0.10999999999999999</v>
          </cell>
          <cell r="J636">
            <v>0</v>
          </cell>
          <cell r="K636">
            <v>0</v>
          </cell>
          <cell r="L636">
            <v>0</v>
          </cell>
          <cell r="M636">
            <v>0</v>
          </cell>
          <cell r="O636" t="str">
            <v>*</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row>
        <row r="637">
          <cell r="B637" t="str">
            <v>员工宿舍</v>
          </cell>
          <cell r="C637" t="str">
            <v>涂料施工面积</v>
          </cell>
          <cell r="D637" t="str">
            <v>m2</v>
          </cell>
          <cell r="E637">
            <v>0</v>
          </cell>
          <cell r="F637">
            <v>0</v>
          </cell>
          <cell r="G637">
            <v>0</v>
          </cell>
          <cell r="H637">
            <v>0</v>
          </cell>
          <cell r="I637">
            <v>0.10999999999999999</v>
          </cell>
          <cell r="J637">
            <v>0</v>
          </cell>
          <cell r="K637">
            <v>0</v>
          </cell>
          <cell r="L637">
            <v>0</v>
          </cell>
          <cell r="M637">
            <v>0</v>
          </cell>
          <cell r="O637" t="str">
            <v>*</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row>
        <row r="638">
          <cell r="B638" t="str">
            <v>外立面块料装修</v>
          </cell>
          <cell r="C638" t="str">
            <v>地上建筑面积</v>
          </cell>
          <cell r="D638" t="str">
            <v>m2</v>
          </cell>
          <cell r="E638">
            <v>154715.32</v>
          </cell>
          <cell r="F638">
            <v>0</v>
          </cell>
          <cell r="G638">
            <v>0</v>
          </cell>
          <cell r="I638">
            <v>0</v>
          </cell>
          <cell r="J638">
            <v>0</v>
          </cell>
          <cell r="K638">
            <v>0</v>
          </cell>
          <cell r="L638">
            <v>0</v>
          </cell>
          <cell r="M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row>
        <row r="639">
          <cell r="B639">
            <v>100</v>
          </cell>
          <cell r="C639" t="str">
            <v>贴块施工面积</v>
          </cell>
          <cell r="D639" t="str">
            <v>m2</v>
          </cell>
          <cell r="E639">
            <v>0</v>
          </cell>
          <cell r="F639">
            <v>0</v>
          </cell>
          <cell r="G639">
            <v>0</v>
          </cell>
          <cell r="H639">
            <v>0</v>
          </cell>
          <cell r="I639">
            <v>0.10999999999999999</v>
          </cell>
          <cell r="J639">
            <v>0</v>
          </cell>
          <cell r="K639">
            <v>0</v>
          </cell>
          <cell r="L639">
            <v>0</v>
          </cell>
          <cell r="M639">
            <v>0</v>
          </cell>
          <cell r="O639" t="str">
            <v>*</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row>
        <row r="640">
          <cell r="B640">
            <v>125</v>
          </cell>
          <cell r="C640" t="str">
            <v>贴块施工面积</v>
          </cell>
          <cell r="D640" t="str">
            <v>m2</v>
          </cell>
          <cell r="E640">
            <v>0</v>
          </cell>
          <cell r="F640">
            <v>0</v>
          </cell>
          <cell r="G640">
            <v>0</v>
          </cell>
          <cell r="H640">
            <v>0</v>
          </cell>
          <cell r="I640">
            <v>0.10999999999999999</v>
          </cell>
          <cell r="J640">
            <v>0</v>
          </cell>
          <cell r="K640">
            <v>0</v>
          </cell>
          <cell r="L640">
            <v>0</v>
          </cell>
          <cell r="M640">
            <v>0</v>
          </cell>
          <cell r="O640" t="str">
            <v>*</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row>
        <row r="641">
          <cell r="B641">
            <v>150</v>
          </cell>
          <cell r="C641" t="str">
            <v>贴块施工面积</v>
          </cell>
          <cell r="D641" t="str">
            <v>m2</v>
          </cell>
          <cell r="E641">
            <v>0</v>
          </cell>
          <cell r="F641">
            <v>0</v>
          </cell>
          <cell r="G641">
            <v>0</v>
          </cell>
          <cell r="H641">
            <v>0</v>
          </cell>
          <cell r="I641">
            <v>0.10999999999999999</v>
          </cell>
          <cell r="J641">
            <v>0</v>
          </cell>
          <cell r="K641">
            <v>0</v>
          </cell>
          <cell r="L641">
            <v>0</v>
          </cell>
          <cell r="M641">
            <v>0</v>
          </cell>
          <cell r="O641" t="str">
            <v>*</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row>
        <row r="642">
          <cell r="B642" t="str">
            <v>1T4(30F)</v>
          </cell>
          <cell r="C642" t="str">
            <v>贴块施工面积</v>
          </cell>
          <cell r="D642" t="str">
            <v>m2</v>
          </cell>
          <cell r="E642">
            <v>0</v>
          </cell>
          <cell r="F642">
            <v>350</v>
          </cell>
          <cell r="G642">
            <v>0</v>
          </cell>
          <cell r="H642">
            <v>0</v>
          </cell>
          <cell r="I642">
            <v>0.10999999999999999</v>
          </cell>
          <cell r="J642">
            <v>315.31531531531533</v>
          </cell>
          <cell r="K642">
            <v>34.684684684684669</v>
          </cell>
          <cell r="L642">
            <v>0</v>
          </cell>
          <cell r="M642">
            <v>0</v>
          </cell>
          <cell r="O642" t="str">
            <v>*</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row>
        <row r="643">
          <cell r="B643" t="str">
            <v>1T3(30F)</v>
          </cell>
          <cell r="C643" t="str">
            <v>贴块施工面积</v>
          </cell>
          <cell r="D643" t="str">
            <v>m2</v>
          </cell>
          <cell r="E643">
            <v>0</v>
          </cell>
          <cell r="F643">
            <v>0</v>
          </cell>
          <cell r="G643">
            <v>0</v>
          </cell>
          <cell r="H643">
            <v>0</v>
          </cell>
          <cell r="I643">
            <v>0.10999999999999999</v>
          </cell>
          <cell r="J643">
            <v>0</v>
          </cell>
          <cell r="K643">
            <v>0</v>
          </cell>
          <cell r="L643">
            <v>0</v>
          </cell>
          <cell r="M643">
            <v>0</v>
          </cell>
          <cell r="O643" t="str">
            <v>*</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row>
        <row r="644">
          <cell r="B644" t="str">
            <v>LOFT(31F)</v>
          </cell>
          <cell r="C644" t="str">
            <v>贴块施工面积</v>
          </cell>
          <cell r="D644" t="str">
            <v>m2</v>
          </cell>
          <cell r="E644">
            <v>0</v>
          </cell>
          <cell r="F644">
            <v>0</v>
          </cell>
          <cell r="G644">
            <v>0</v>
          </cell>
          <cell r="H644">
            <v>0</v>
          </cell>
          <cell r="I644">
            <v>0.10999999999999999</v>
          </cell>
          <cell r="J644">
            <v>0</v>
          </cell>
          <cell r="K644">
            <v>0</v>
          </cell>
          <cell r="L644">
            <v>0</v>
          </cell>
          <cell r="M644">
            <v>0</v>
          </cell>
          <cell r="O644" t="str">
            <v>*</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row>
        <row r="645">
          <cell r="B645" t="str">
            <v>1T2(31F)</v>
          </cell>
          <cell r="C645" t="str">
            <v>贴块施工面积</v>
          </cell>
          <cell r="D645" t="str">
            <v>m2</v>
          </cell>
          <cell r="E645">
            <v>0</v>
          </cell>
          <cell r="F645">
            <v>0</v>
          </cell>
          <cell r="G645">
            <v>0</v>
          </cell>
          <cell r="H645">
            <v>0</v>
          </cell>
          <cell r="I645">
            <v>0.10999999999999999</v>
          </cell>
          <cell r="J645">
            <v>0</v>
          </cell>
          <cell r="K645">
            <v>0</v>
          </cell>
          <cell r="L645">
            <v>0</v>
          </cell>
          <cell r="M645">
            <v>0</v>
          </cell>
          <cell r="O645" t="str">
            <v>*</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row>
        <row r="646">
          <cell r="B646" t="str">
            <v>1T8(32F)</v>
          </cell>
          <cell r="C646" t="str">
            <v>贴块施工面积</v>
          </cell>
          <cell r="D646" t="str">
            <v>m2</v>
          </cell>
          <cell r="E646">
            <v>0</v>
          </cell>
          <cell r="F646">
            <v>0</v>
          </cell>
          <cell r="G646">
            <v>0</v>
          </cell>
          <cell r="H646">
            <v>0</v>
          </cell>
          <cell r="I646">
            <v>0.10999999999999999</v>
          </cell>
          <cell r="J646">
            <v>0</v>
          </cell>
          <cell r="K646">
            <v>0</v>
          </cell>
          <cell r="L646">
            <v>0</v>
          </cell>
          <cell r="M646">
            <v>0</v>
          </cell>
          <cell r="O646" t="str">
            <v>*</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row>
        <row r="647">
          <cell r="B647" t="str">
            <v>中高层洋房</v>
          </cell>
          <cell r="C647" t="str">
            <v>贴块施工面积</v>
          </cell>
          <cell r="D647" t="str">
            <v>m2</v>
          </cell>
          <cell r="E647">
            <v>0</v>
          </cell>
          <cell r="F647">
            <v>0</v>
          </cell>
          <cell r="G647">
            <v>0</v>
          </cell>
          <cell r="H647">
            <v>0</v>
          </cell>
          <cell r="I647">
            <v>0.10999999999999999</v>
          </cell>
          <cell r="J647">
            <v>0</v>
          </cell>
          <cell r="K647">
            <v>0</v>
          </cell>
          <cell r="L647">
            <v>0</v>
          </cell>
          <cell r="M647">
            <v>0</v>
          </cell>
          <cell r="O647" t="str">
            <v>*</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row>
        <row r="648">
          <cell r="B648" t="str">
            <v>115高层洋房</v>
          </cell>
          <cell r="C648" t="str">
            <v>贴块施工面积</v>
          </cell>
          <cell r="D648" t="str">
            <v>m2</v>
          </cell>
          <cell r="E648">
            <v>0</v>
          </cell>
          <cell r="F648">
            <v>0</v>
          </cell>
          <cell r="G648">
            <v>0</v>
          </cell>
          <cell r="H648">
            <v>0</v>
          </cell>
          <cell r="I648">
            <v>0.10999999999999999</v>
          </cell>
          <cell r="J648">
            <v>0</v>
          </cell>
          <cell r="K648">
            <v>0</v>
          </cell>
          <cell r="L648">
            <v>0</v>
          </cell>
          <cell r="M648">
            <v>0</v>
          </cell>
          <cell r="N648" t="str">
            <v>系数按0.2，参照黄埠初审预算平均价格，单价按100元/m2</v>
          </cell>
          <cell r="O648" t="str">
            <v>*</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row>
        <row r="649">
          <cell r="B649" t="str">
            <v>超高层洋房</v>
          </cell>
          <cell r="C649" t="str">
            <v>贴块施工面积</v>
          </cell>
          <cell r="D649" t="str">
            <v>m2</v>
          </cell>
          <cell r="E649">
            <v>0</v>
          </cell>
          <cell r="F649">
            <v>0</v>
          </cell>
          <cell r="G649">
            <v>0</v>
          </cell>
          <cell r="H649">
            <v>0</v>
          </cell>
          <cell r="I649">
            <v>0.10999999999999999</v>
          </cell>
          <cell r="J649">
            <v>0</v>
          </cell>
          <cell r="K649">
            <v>0</v>
          </cell>
          <cell r="L649">
            <v>0</v>
          </cell>
          <cell r="M649">
            <v>0</v>
          </cell>
          <cell r="O649" t="str">
            <v>*</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row>
        <row r="650">
          <cell r="B650" t="str">
            <v>公寓</v>
          </cell>
          <cell r="C650" t="str">
            <v>贴块施工面积</v>
          </cell>
          <cell r="D650" t="str">
            <v>m2</v>
          </cell>
          <cell r="E650">
            <v>0</v>
          </cell>
          <cell r="F650">
            <v>0</v>
          </cell>
          <cell r="G650">
            <v>0</v>
          </cell>
          <cell r="H650">
            <v>0</v>
          </cell>
          <cell r="I650">
            <v>0.10999999999999999</v>
          </cell>
          <cell r="J650">
            <v>0</v>
          </cell>
          <cell r="K650">
            <v>0</v>
          </cell>
          <cell r="L650">
            <v>0</v>
          </cell>
          <cell r="M650">
            <v>0</v>
          </cell>
          <cell r="O650" t="str">
            <v>*</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row>
        <row r="651">
          <cell r="B651" t="str">
            <v>底商</v>
          </cell>
          <cell r="C651" t="str">
            <v>贴块施工面积</v>
          </cell>
          <cell r="D651" t="str">
            <v>m2</v>
          </cell>
          <cell r="E651">
            <v>0</v>
          </cell>
          <cell r="F651">
            <v>0</v>
          </cell>
          <cell r="G651">
            <v>0</v>
          </cell>
          <cell r="H651">
            <v>0</v>
          </cell>
          <cell r="I651">
            <v>0.10999999999999999</v>
          </cell>
          <cell r="J651">
            <v>0</v>
          </cell>
          <cell r="K651">
            <v>0</v>
          </cell>
          <cell r="L651">
            <v>0</v>
          </cell>
          <cell r="M651">
            <v>0</v>
          </cell>
          <cell r="O651" t="str">
            <v>*</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row>
        <row r="652">
          <cell r="B652" t="str">
            <v>商业街</v>
          </cell>
          <cell r="C652" t="str">
            <v>贴块施工面积</v>
          </cell>
          <cell r="D652" t="str">
            <v>m2</v>
          </cell>
          <cell r="E652">
            <v>0</v>
          </cell>
          <cell r="F652">
            <v>0</v>
          </cell>
          <cell r="G652">
            <v>0</v>
          </cell>
          <cell r="H652">
            <v>0</v>
          </cell>
          <cell r="I652">
            <v>0.10999999999999999</v>
          </cell>
          <cell r="J652">
            <v>0</v>
          </cell>
          <cell r="K652">
            <v>0</v>
          </cell>
          <cell r="L652">
            <v>0</v>
          </cell>
          <cell r="M652">
            <v>0</v>
          </cell>
          <cell r="O652" t="str">
            <v>*</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row>
        <row r="653">
          <cell r="B653" t="str">
            <v>综合楼</v>
          </cell>
          <cell r="C653" t="str">
            <v>贴块施工面积</v>
          </cell>
          <cell r="D653" t="str">
            <v>m2</v>
          </cell>
          <cell r="E653">
            <v>0</v>
          </cell>
          <cell r="F653">
            <v>0</v>
          </cell>
          <cell r="G653">
            <v>0</v>
          </cell>
          <cell r="H653">
            <v>0</v>
          </cell>
          <cell r="I653">
            <v>0.10999999999999999</v>
          </cell>
          <cell r="J653">
            <v>0</v>
          </cell>
          <cell r="K653">
            <v>0</v>
          </cell>
          <cell r="L653">
            <v>0</v>
          </cell>
          <cell r="M653">
            <v>0</v>
          </cell>
          <cell r="O653" t="str">
            <v>*</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row>
        <row r="654">
          <cell r="B654" t="str">
            <v>写字楼</v>
          </cell>
          <cell r="C654" t="str">
            <v>贴块施工面积</v>
          </cell>
          <cell r="D654" t="str">
            <v>m2</v>
          </cell>
          <cell r="E654">
            <v>0</v>
          </cell>
          <cell r="F654">
            <v>0</v>
          </cell>
          <cell r="G654">
            <v>0</v>
          </cell>
          <cell r="H654">
            <v>0</v>
          </cell>
          <cell r="I654">
            <v>0.10999999999999999</v>
          </cell>
          <cell r="J654">
            <v>0</v>
          </cell>
          <cell r="K654">
            <v>0</v>
          </cell>
          <cell r="L654">
            <v>0</v>
          </cell>
          <cell r="M654">
            <v>0</v>
          </cell>
          <cell r="O654" t="str">
            <v>*</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row>
        <row r="655">
          <cell r="B655" t="str">
            <v>酒店</v>
          </cell>
          <cell r="C655" t="str">
            <v>贴块施工面积</v>
          </cell>
          <cell r="D655" t="str">
            <v>m2</v>
          </cell>
          <cell r="E655">
            <v>0</v>
          </cell>
          <cell r="F655">
            <v>0</v>
          </cell>
          <cell r="G655">
            <v>0</v>
          </cell>
          <cell r="H655">
            <v>0</v>
          </cell>
          <cell r="I655">
            <v>0.10999999999999999</v>
          </cell>
          <cell r="J655">
            <v>0</v>
          </cell>
          <cell r="K655">
            <v>0</v>
          </cell>
          <cell r="L655">
            <v>0</v>
          </cell>
          <cell r="M655">
            <v>0</v>
          </cell>
          <cell r="O655" t="str">
            <v>*</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row>
        <row r="656">
          <cell r="B656" t="str">
            <v>医院（自持）</v>
          </cell>
          <cell r="C656" t="str">
            <v>贴块施工面积</v>
          </cell>
          <cell r="D656" t="str">
            <v>m2</v>
          </cell>
          <cell r="E656">
            <v>0</v>
          </cell>
          <cell r="F656">
            <v>0</v>
          </cell>
          <cell r="G656">
            <v>0</v>
          </cell>
          <cell r="H656">
            <v>0</v>
          </cell>
          <cell r="I656">
            <v>0.10999999999999999</v>
          </cell>
          <cell r="J656">
            <v>0</v>
          </cell>
          <cell r="K656">
            <v>0</v>
          </cell>
          <cell r="L656">
            <v>0</v>
          </cell>
          <cell r="M656">
            <v>0</v>
          </cell>
          <cell r="O656" t="str">
            <v>*</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row>
        <row r="657">
          <cell r="B657" t="str">
            <v>地上计容车库</v>
          </cell>
          <cell r="C657" t="str">
            <v>贴块施工面积</v>
          </cell>
          <cell r="D657" t="str">
            <v>m2</v>
          </cell>
          <cell r="E657">
            <v>0</v>
          </cell>
          <cell r="F657">
            <v>0</v>
          </cell>
          <cell r="G657">
            <v>0</v>
          </cell>
          <cell r="H657">
            <v>0</v>
          </cell>
          <cell r="I657">
            <v>0.10999999999999999</v>
          </cell>
          <cell r="J657">
            <v>0</v>
          </cell>
          <cell r="K657">
            <v>0</v>
          </cell>
          <cell r="L657">
            <v>0</v>
          </cell>
          <cell r="M657">
            <v>0</v>
          </cell>
          <cell r="O657" t="str">
            <v>*</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row>
        <row r="658">
          <cell r="B658" t="str">
            <v>非人防地下室</v>
          </cell>
          <cell r="C658" t="str">
            <v>贴块施工面积</v>
          </cell>
          <cell r="D658" t="str">
            <v>m2</v>
          </cell>
          <cell r="E658">
            <v>0</v>
          </cell>
          <cell r="F658">
            <v>0</v>
          </cell>
          <cell r="G658">
            <v>0</v>
          </cell>
          <cell r="H658">
            <v>0</v>
          </cell>
          <cell r="I658">
            <v>0.10999999999999999</v>
          </cell>
          <cell r="J658">
            <v>0</v>
          </cell>
          <cell r="K658">
            <v>0</v>
          </cell>
          <cell r="L658">
            <v>0</v>
          </cell>
          <cell r="M658">
            <v>0</v>
          </cell>
          <cell r="O658" t="str">
            <v>*</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row>
        <row r="659">
          <cell r="B659" t="str">
            <v>人防地下室</v>
          </cell>
          <cell r="C659" t="str">
            <v>贴块施工面积</v>
          </cell>
          <cell r="D659" t="str">
            <v>m2</v>
          </cell>
          <cell r="E659">
            <v>0</v>
          </cell>
          <cell r="F659">
            <v>0</v>
          </cell>
          <cell r="G659">
            <v>0</v>
          </cell>
          <cell r="H659">
            <v>0</v>
          </cell>
          <cell r="I659">
            <v>0.10999999999999999</v>
          </cell>
          <cell r="J659">
            <v>0</v>
          </cell>
          <cell r="K659">
            <v>0</v>
          </cell>
          <cell r="L659">
            <v>0</v>
          </cell>
          <cell r="M659">
            <v>0</v>
          </cell>
          <cell r="O659" t="str">
            <v>*</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row>
        <row r="660">
          <cell r="B660" t="str">
            <v>独立会所（综合楼）</v>
          </cell>
          <cell r="C660" t="str">
            <v>贴块施工面积</v>
          </cell>
          <cell r="D660" t="str">
            <v>m2</v>
          </cell>
          <cell r="E660">
            <v>0</v>
          </cell>
          <cell r="F660">
            <v>0</v>
          </cell>
          <cell r="G660">
            <v>0</v>
          </cell>
          <cell r="H660">
            <v>0</v>
          </cell>
          <cell r="I660">
            <v>0.10999999999999999</v>
          </cell>
          <cell r="J660">
            <v>0</v>
          </cell>
          <cell r="K660">
            <v>0</v>
          </cell>
          <cell r="L660">
            <v>0</v>
          </cell>
          <cell r="M660">
            <v>0</v>
          </cell>
          <cell r="O660" t="str">
            <v>*</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row>
        <row r="661">
          <cell r="B661" t="str">
            <v>活动中心</v>
          </cell>
          <cell r="C661" t="str">
            <v>贴块施工面积</v>
          </cell>
          <cell r="D661" t="str">
            <v>m2</v>
          </cell>
          <cell r="E661">
            <v>0</v>
          </cell>
          <cell r="F661">
            <v>0</v>
          </cell>
          <cell r="G661">
            <v>0</v>
          </cell>
          <cell r="H661">
            <v>0</v>
          </cell>
          <cell r="I661">
            <v>0.10999999999999999</v>
          </cell>
          <cell r="J661">
            <v>0</v>
          </cell>
          <cell r="K661">
            <v>0</v>
          </cell>
          <cell r="L661">
            <v>0</v>
          </cell>
          <cell r="M661">
            <v>0</v>
          </cell>
          <cell r="O661" t="str">
            <v>*</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row>
        <row r="662">
          <cell r="B662" t="str">
            <v>商贸市场</v>
          </cell>
          <cell r="C662" t="str">
            <v>贴块施工面积</v>
          </cell>
          <cell r="D662" t="str">
            <v>m2</v>
          </cell>
          <cell r="E662">
            <v>0</v>
          </cell>
          <cell r="F662">
            <v>0</v>
          </cell>
          <cell r="G662">
            <v>0</v>
          </cell>
          <cell r="H662">
            <v>0</v>
          </cell>
          <cell r="I662">
            <v>0.10999999999999999</v>
          </cell>
          <cell r="J662">
            <v>0</v>
          </cell>
          <cell r="K662">
            <v>0</v>
          </cell>
          <cell r="L662">
            <v>0</v>
          </cell>
          <cell r="M662">
            <v>0</v>
          </cell>
          <cell r="O662" t="str">
            <v>*</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row>
        <row r="663">
          <cell r="B663" t="str">
            <v>医院</v>
          </cell>
          <cell r="C663" t="str">
            <v>贴块施工面积</v>
          </cell>
          <cell r="D663" t="str">
            <v>m2</v>
          </cell>
          <cell r="E663">
            <v>0</v>
          </cell>
          <cell r="F663">
            <v>0</v>
          </cell>
          <cell r="G663">
            <v>0</v>
          </cell>
          <cell r="H663">
            <v>0</v>
          </cell>
          <cell r="I663">
            <v>0.10999999999999999</v>
          </cell>
          <cell r="J663">
            <v>0</v>
          </cell>
          <cell r="K663">
            <v>0</v>
          </cell>
          <cell r="L663">
            <v>0</v>
          </cell>
          <cell r="M663">
            <v>0</v>
          </cell>
          <cell r="O663" t="str">
            <v>*</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row>
        <row r="664">
          <cell r="B664" t="str">
            <v>幼儿园</v>
          </cell>
          <cell r="C664" t="str">
            <v>贴块施工面积</v>
          </cell>
          <cell r="D664" t="str">
            <v>m2</v>
          </cell>
          <cell r="E664">
            <v>0</v>
          </cell>
          <cell r="F664">
            <v>0</v>
          </cell>
          <cell r="G664">
            <v>0</v>
          </cell>
          <cell r="H664">
            <v>0</v>
          </cell>
          <cell r="I664">
            <v>0.10999999999999999</v>
          </cell>
          <cell r="J664">
            <v>0</v>
          </cell>
          <cell r="K664">
            <v>0</v>
          </cell>
          <cell r="L664">
            <v>0</v>
          </cell>
          <cell r="M664">
            <v>0</v>
          </cell>
          <cell r="O664" t="str">
            <v>*</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row>
        <row r="665">
          <cell r="B665" t="str">
            <v>学校</v>
          </cell>
          <cell r="C665" t="str">
            <v>贴块施工面积</v>
          </cell>
          <cell r="D665" t="str">
            <v>m2</v>
          </cell>
          <cell r="E665">
            <v>0</v>
          </cell>
          <cell r="F665">
            <v>0</v>
          </cell>
          <cell r="G665">
            <v>0</v>
          </cell>
          <cell r="H665">
            <v>0</v>
          </cell>
          <cell r="I665">
            <v>0.10999999999999999</v>
          </cell>
          <cell r="J665">
            <v>0</v>
          </cell>
          <cell r="K665">
            <v>0</v>
          </cell>
          <cell r="L665">
            <v>0</v>
          </cell>
          <cell r="M665">
            <v>0</v>
          </cell>
          <cell r="O665" t="str">
            <v>*</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row>
        <row r="666">
          <cell r="B666" t="str">
            <v>员工宿舍</v>
          </cell>
          <cell r="C666" t="str">
            <v>贴块施工面积</v>
          </cell>
          <cell r="D666" t="str">
            <v>m2</v>
          </cell>
          <cell r="E666">
            <v>0</v>
          </cell>
          <cell r="F666">
            <v>0</v>
          </cell>
          <cell r="G666">
            <v>0</v>
          </cell>
          <cell r="H666">
            <v>0</v>
          </cell>
          <cell r="I666">
            <v>0.10999999999999999</v>
          </cell>
          <cell r="J666">
            <v>0</v>
          </cell>
          <cell r="K666">
            <v>0</v>
          </cell>
          <cell r="L666">
            <v>0</v>
          </cell>
          <cell r="M666">
            <v>0</v>
          </cell>
          <cell r="O666" t="str">
            <v>*</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row>
        <row r="667">
          <cell r="A667" t="str">
            <v>03.01.07</v>
          </cell>
          <cell r="B667" t="str">
            <v>栏杆工程（阳台露台护窗栏杆）</v>
          </cell>
          <cell r="C667" t="str">
            <v>地上建筑面积</v>
          </cell>
          <cell r="D667" t="str">
            <v>m2</v>
          </cell>
          <cell r="E667">
            <v>154715.32</v>
          </cell>
          <cell r="F667">
            <v>119.125858205744</v>
          </cell>
          <cell r="G667">
            <v>18430595.27257631</v>
          </cell>
          <cell r="I667">
            <v>0.10999999999999985</v>
          </cell>
          <cell r="J667">
            <v>107.32059297814776</v>
          </cell>
          <cell r="K667">
            <v>11.805265227596237</v>
          </cell>
          <cell r="L667">
            <v>16604139.885203885</v>
          </cell>
          <cell r="M667">
            <v>1826455.3873724248</v>
          </cell>
          <cell r="P667">
            <v>0</v>
          </cell>
          <cell r="Q667">
            <v>13180986.756756758</v>
          </cell>
          <cell r="R667">
            <v>184091.17117117121</v>
          </cell>
          <cell r="S667">
            <v>2621472.4873894127</v>
          </cell>
          <cell r="T667">
            <v>612454.33475140831</v>
          </cell>
          <cell r="U667">
            <v>0</v>
          </cell>
          <cell r="V667">
            <v>0</v>
          </cell>
          <cell r="W667">
            <v>0</v>
          </cell>
          <cell r="X667">
            <v>0</v>
          </cell>
          <cell r="Y667">
            <v>0</v>
          </cell>
          <cell r="Z667">
            <v>0</v>
          </cell>
          <cell r="AA667">
            <v>0</v>
          </cell>
          <cell r="AB667">
            <v>5135.135135135135</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16604139.885203885</v>
          </cell>
          <cell r="AS667">
            <v>0</v>
          </cell>
        </row>
        <row r="668">
          <cell r="B668">
            <v>100</v>
          </cell>
          <cell r="C668" t="str">
            <v>栏杆测算长度</v>
          </cell>
          <cell r="D668" t="str">
            <v>m</v>
          </cell>
          <cell r="E668">
            <v>0</v>
          </cell>
          <cell r="F668">
            <v>0</v>
          </cell>
          <cell r="G668">
            <v>0</v>
          </cell>
          <cell r="H668">
            <v>0</v>
          </cell>
          <cell r="I668">
            <v>0.10999999999999999</v>
          </cell>
          <cell r="J668">
            <v>0</v>
          </cell>
          <cell r="K668">
            <v>0</v>
          </cell>
          <cell r="L668">
            <v>0</v>
          </cell>
          <cell r="M668">
            <v>0</v>
          </cell>
          <cell r="N668" t="str">
            <v>系数按0.19，参考银滩签订合同价格上浮15%
阳台露台为花瓶栏杆，空调百叶为铁艺材料</v>
          </cell>
          <cell r="O668" t="str">
            <v>*</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row>
        <row r="669">
          <cell r="B669">
            <v>125</v>
          </cell>
          <cell r="C669" t="str">
            <v>栏杆测算长度</v>
          </cell>
          <cell r="D669" t="str">
            <v>m</v>
          </cell>
          <cell r="E669">
            <v>31737.3</v>
          </cell>
          <cell r="F669">
            <v>461</v>
          </cell>
          <cell r="G669">
            <v>14630895.299999999</v>
          </cell>
          <cell r="H669">
            <v>0</v>
          </cell>
          <cell r="I669">
            <v>0.10999999999999999</v>
          </cell>
          <cell r="J669">
            <v>415.31531531531539</v>
          </cell>
          <cell r="K669">
            <v>45.684684684684612</v>
          </cell>
          <cell r="L669">
            <v>13180986.756756758</v>
          </cell>
          <cell r="M669">
            <v>1449908.5432432406</v>
          </cell>
          <cell r="O669" t="str">
            <v>*</v>
          </cell>
          <cell r="P669">
            <v>0</v>
          </cell>
          <cell r="Q669">
            <v>13180986.756756758</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13180986.756756758</v>
          </cell>
          <cell r="AS669">
            <v>0</v>
          </cell>
        </row>
        <row r="670">
          <cell r="B670">
            <v>150</v>
          </cell>
          <cell r="C670" t="str">
            <v>栏杆测算长度</v>
          </cell>
          <cell r="D670" t="str">
            <v>m</v>
          </cell>
          <cell r="E670">
            <v>444.22</v>
          </cell>
          <cell r="F670">
            <v>460</v>
          </cell>
          <cell r="G670">
            <v>204341.2</v>
          </cell>
          <cell r="H670">
            <v>0</v>
          </cell>
          <cell r="I670">
            <v>0.10999999999999999</v>
          </cell>
          <cell r="J670">
            <v>414.41441441441447</v>
          </cell>
          <cell r="K670">
            <v>45.585585585585534</v>
          </cell>
          <cell r="L670">
            <v>184091.17117117121</v>
          </cell>
          <cell r="M670">
            <v>20250.028828828799</v>
          </cell>
          <cell r="N670" t="str">
            <v>系数按0.19，参考银滩签订合同价格上浮15%
阳台露台为花瓶栏杆，空调百叶为铁艺材料</v>
          </cell>
          <cell r="O670" t="str">
            <v>*</v>
          </cell>
          <cell r="P670">
            <v>0</v>
          </cell>
          <cell r="Q670">
            <v>0</v>
          </cell>
          <cell r="R670">
            <v>184091.17117117121</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184091.17117117121</v>
          </cell>
          <cell r="AS670">
            <v>0</v>
          </cell>
        </row>
        <row r="671">
          <cell r="B671" t="str">
            <v>1T4(30F)</v>
          </cell>
          <cell r="C671" t="str">
            <v>栏杆测算长度</v>
          </cell>
          <cell r="D671" t="str">
            <v>m</v>
          </cell>
          <cell r="E671">
            <v>15041.867999999999</v>
          </cell>
          <cell r="F671">
            <v>193.44900919235883</v>
          </cell>
          <cell r="G671">
            <v>2909834.4610022479</v>
          </cell>
          <cell r="H671">
            <v>0</v>
          </cell>
          <cell r="I671">
            <v>0.10999999999999999</v>
          </cell>
          <cell r="J671">
            <v>174.27838665978274</v>
          </cell>
          <cell r="K671">
            <v>19.17062253257609</v>
          </cell>
          <cell r="L671">
            <v>2621472.4873894127</v>
          </cell>
          <cell r="M671">
            <v>288361.97361283517</v>
          </cell>
          <cell r="O671" t="str">
            <v>*</v>
          </cell>
          <cell r="P671">
            <v>0</v>
          </cell>
          <cell r="Q671">
            <v>0</v>
          </cell>
          <cell r="R671">
            <v>0</v>
          </cell>
          <cell r="S671">
            <v>2621472.4873894127</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2621472.4873894127</v>
          </cell>
          <cell r="AS671">
            <v>0</v>
          </cell>
        </row>
        <row r="672">
          <cell r="B672" t="str">
            <v>1T3(30F)</v>
          </cell>
          <cell r="C672" t="str">
            <v>栏杆测算长度</v>
          </cell>
          <cell r="D672" t="str">
            <v>m</v>
          </cell>
          <cell r="E672">
            <v>3514.23</v>
          </cell>
          <cell r="F672">
            <v>193.44900919235883</v>
          </cell>
          <cell r="G672">
            <v>679824.31157406315</v>
          </cell>
          <cell r="H672">
            <v>0</v>
          </cell>
          <cell r="I672">
            <v>0.10999999999999999</v>
          </cell>
          <cell r="J672">
            <v>174.27838665978274</v>
          </cell>
          <cell r="K672">
            <v>19.17062253257609</v>
          </cell>
          <cell r="L672">
            <v>612454.33475140831</v>
          </cell>
          <cell r="M672">
            <v>67369.976822654833</v>
          </cell>
          <cell r="N672" t="str">
            <v>系数按0.19，参考银滩签订合同价格上浮15%
阳台露台为花瓶栏杆，空调百叶为铁艺材料</v>
          </cell>
          <cell r="O672" t="str">
            <v>*</v>
          </cell>
          <cell r="P672">
            <v>0</v>
          </cell>
          <cell r="Q672">
            <v>0</v>
          </cell>
          <cell r="R672">
            <v>0</v>
          </cell>
          <cell r="S672">
            <v>0</v>
          </cell>
          <cell r="T672">
            <v>612454.33475140831</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612454.33475140831</v>
          </cell>
          <cell r="AS672">
            <v>0</v>
          </cell>
        </row>
        <row r="673">
          <cell r="B673" t="str">
            <v>LOFT(31F)</v>
          </cell>
          <cell r="C673" t="str">
            <v>栏杆测算长度</v>
          </cell>
          <cell r="D673" t="str">
            <v>m</v>
          </cell>
          <cell r="E673">
            <v>0</v>
          </cell>
          <cell r="F673">
            <v>0</v>
          </cell>
          <cell r="G673">
            <v>0</v>
          </cell>
          <cell r="H673">
            <v>0</v>
          </cell>
          <cell r="I673">
            <v>0.10999999999999999</v>
          </cell>
          <cell r="J673">
            <v>0</v>
          </cell>
          <cell r="K673">
            <v>0</v>
          </cell>
          <cell r="L673">
            <v>0</v>
          </cell>
          <cell r="M673">
            <v>0</v>
          </cell>
          <cell r="O673" t="str">
            <v>*</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row>
        <row r="674">
          <cell r="B674" t="str">
            <v>1T2(31F)</v>
          </cell>
          <cell r="C674" t="str">
            <v>栏杆测算长度</v>
          </cell>
          <cell r="D674" t="str">
            <v>m</v>
          </cell>
          <cell r="E674">
            <v>0</v>
          </cell>
          <cell r="F674">
            <v>0</v>
          </cell>
          <cell r="G674">
            <v>0</v>
          </cell>
          <cell r="H674">
            <v>0</v>
          </cell>
          <cell r="I674">
            <v>0.10999999999999999</v>
          </cell>
          <cell r="J674">
            <v>0</v>
          </cell>
          <cell r="K674">
            <v>0</v>
          </cell>
          <cell r="L674">
            <v>0</v>
          </cell>
          <cell r="M674">
            <v>0</v>
          </cell>
          <cell r="O674" t="str">
            <v>*</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row>
        <row r="675">
          <cell r="B675" t="str">
            <v>1T8(32F)</v>
          </cell>
          <cell r="C675" t="str">
            <v>栏杆测算长度</v>
          </cell>
          <cell r="D675" t="str">
            <v>m</v>
          </cell>
          <cell r="E675">
            <v>0</v>
          </cell>
          <cell r="F675">
            <v>0</v>
          </cell>
          <cell r="G675">
            <v>0</v>
          </cell>
          <cell r="H675">
            <v>0</v>
          </cell>
          <cell r="I675">
            <v>0.10999999999999999</v>
          </cell>
          <cell r="J675">
            <v>0</v>
          </cell>
          <cell r="K675">
            <v>0</v>
          </cell>
          <cell r="L675">
            <v>0</v>
          </cell>
          <cell r="M675">
            <v>0</v>
          </cell>
          <cell r="O675" t="str">
            <v>*</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row>
        <row r="676">
          <cell r="B676" t="str">
            <v>中高层洋房</v>
          </cell>
          <cell r="C676" t="str">
            <v>栏杆测算长度</v>
          </cell>
          <cell r="D676" t="str">
            <v>m</v>
          </cell>
          <cell r="E676">
            <v>0</v>
          </cell>
          <cell r="F676">
            <v>0</v>
          </cell>
          <cell r="G676">
            <v>0</v>
          </cell>
          <cell r="H676">
            <v>0</v>
          </cell>
          <cell r="I676">
            <v>0.10999999999999999</v>
          </cell>
          <cell r="J676">
            <v>0</v>
          </cell>
          <cell r="K676">
            <v>0</v>
          </cell>
          <cell r="L676">
            <v>0</v>
          </cell>
          <cell r="M676">
            <v>0</v>
          </cell>
          <cell r="O676" t="str">
            <v>*</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row>
        <row r="677">
          <cell r="B677" t="str">
            <v>115高层洋房</v>
          </cell>
          <cell r="C677" t="str">
            <v>栏杆测算长度</v>
          </cell>
          <cell r="D677" t="str">
            <v>m</v>
          </cell>
          <cell r="E677">
            <v>0</v>
          </cell>
          <cell r="F677">
            <v>0</v>
          </cell>
          <cell r="G677">
            <v>0</v>
          </cell>
          <cell r="H677">
            <v>0</v>
          </cell>
          <cell r="I677">
            <v>0.10999999999999999</v>
          </cell>
          <cell r="J677">
            <v>0</v>
          </cell>
          <cell r="K677">
            <v>0</v>
          </cell>
          <cell r="L677">
            <v>0</v>
          </cell>
          <cell r="M677">
            <v>0</v>
          </cell>
          <cell r="N677" t="str">
            <v>85155.34m900mm高阳台镀锌玻璃栏杆按300元/m、900mm高护窗为镀锌组装栏杆90元/m、空调百叶按160元/m，综合单方为275元/m</v>
          </cell>
          <cell r="O677" t="str">
            <v>*</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row>
        <row r="678">
          <cell r="B678" t="str">
            <v>超高层洋房</v>
          </cell>
          <cell r="C678" t="str">
            <v>栏杆测算长度</v>
          </cell>
          <cell r="D678" t="str">
            <v>m</v>
          </cell>
          <cell r="E678">
            <v>0</v>
          </cell>
          <cell r="F678">
            <v>0</v>
          </cell>
          <cell r="G678">
            <v>0</v>
          </cell>
          <cell r="H678">
            <v>0</v>
          </cell>
          <cell r="I678">
            <v>0.10999999999999999</v>
          </cell>
          <cell r="J678">
            <v>0</v>
          </cell>
          <cell r="K678">
            <v>0</v>
          </cell>
          <cell r="L678">
            <v>0</v>
          </cell>
          <cell r="M678">
            <v>0</v>
          </cell>
          <cell r="O678" t="str">
            <v>*</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row>
        <row r="679">
          <cell r="B679" t="str">
            <v>公寓</v>
          </cell>
          <cell r="C679" t="str">
            <v>栏杆测算长度</v>
          </cell>
          <cell r="D679" t="str">
            <v>m</v>
          </cell>
          <cell r="E679">
            <v>0</v>
          </cell>
          <cell r="F679">
            <v>0</v>
          </cell>
          <cell r="G679">
            <v>0</v>
          </cell>
          <cell r="H679">
            <v>0</v>
          </cell>
          <cell r="I679">
            <v>0.10999999999999999</v>
          </cell>
          <cell r="J679">
            <v>0</v>
          </cell>
          <cell r="K679">
            <v>0</v>
          </cell>
          <cell r="L679">
            <v>0</v>
          </cell>
          <cell r="M679">
            <v>0</v>
          </cell>
          <cell r="O679" t="str">
            <v>*</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row>
        <row r="680">
          <cell r="B680" t="str">
            <v>底商</v>
          </cell>
          <cell r="C680" t="str">
            <v>栏杆测算长度</v>
          </cell>
          <cell r="D680" t="str">
            <v>m</v>
          </cell>
          <cell r="E680">
            <v>60</v>
          </cell>
          <cell r="F680">
            <v>95</v>
          </cell>
          <cell r="G680">
            <v>5700</v>
          </cell>
          <cell r="H680">
            <v>0</v>
          </cell>
          <cell r="I680">
            <v>0.10999999999999999</v>
          </cell>
          <cell r="J680">
            <v>85.585585585585591</v>
          </cell>
          <cell r="K680">
            <v>9.4144144144144093</v>
          </cell>
          <cell r="L680">
            <v>5135.135135135135</v>
          </cell>
          <cell r="M680">
            <v>564.86486486486501</v>
          </cell>
          <cell r="O680" t="str">
            <v>*</v>
          </cell>
          <cell r="P680">
            <v>0</v>
          </cell>
          <cell r="Q680">
            <v>0</v>
          </cell>
          <cell r="R680">
            <v>0</v>
          </cell>
          <cell r="S680">
            <v>0</v>
          </cell>
          <cell r="T680">
            <v>0</v>
          </cell>
          <cell r="U680">
            <v>0</v>
          </cell>
          <cell r="V680">
            <v>0</v>
          </cell>
          <cell r="W680">
            <v>0</v>
          </cell>
          <cell r="X680">
            <v>0</v>
          </cell>
          <cell r="Y680">
            <v>0</v>
          </cell>
          <cell r="Z680">
            <v>0</v>
          </cell>
          <cell r="AA680">
            <v>0</v>
          </cell>
          <cell r="AB680">
            <v>5135.135135135135</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5135.135135135135</v>
          </cell>
          <cell r="AS680">
            <v>0</v>
          </cell>
        </row>
        <row r="681">
          <cell r="B681" t="str">
            <v>商业街</v>
          </cell>
          <cell r="C681" t="str">
            <v>栏杆测算长度</v>
          </cell>
          <cell r="D681" t="str">
            <v>m</v>
          </cell>
          <cell r="E681">
            <v>0</v>
          </cell>
          <cell r="F681">
            <v>0</v>
          </cell>
          <cell r="G681">
            <v>0</v>
          </cell>
          <cell r="H681">
            <v>0</v>
          </cell>
          <cell r="I681">
            <v>0.10999999999999999</v>
          </cell>
          <cell r="J681">
            <v>0</v>
          </cell>
          <cell r="K681">
            <v>0</v>
          </cell>
          <cell r="L681">
            <v>0</v>
          </cell>
          <cell r="M681">
            <v>0</v>
          </cell>
          <cell r="O681" t="str">
            <v>*</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row>
        <row r="682">
          <cell r="B682" t="str">
            <v>综合楼</v>
          </cell>
          <cell r="C682" t="str">
            <v>栏杆测算长度</v>
          </cell>
          <cell r="D682" t="str">
            <v>m</v>
          </cell>
          <cell r="E682">
            <v>0</v>
          </cell>
          <cell r="F682">
            <v>0</v>
          </cell>
          <cell r="G682">
            <v>0</v>
          </cell>
          <cell r="H682">
            <v>0</v>
          </cell>
          <cell r="I682">
            <v>0.10999999999999999</v>
          </cell>
          <cell r="J682">
            <v>0</v>
          </cell>
          <cell r="K682">
            <v>0</v>
          </cell>
          <cell r="L682">
            <v>0</v>
          </cell>
          <cell r="M682">
            <v>0</v>
          </cell>
          <cell r="O682" t="str">
            <v>*</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row>
        <row r="683">
          <cell r="B683" t="str">
            <v>写字楼</v>
          </cell>
          <cell r="C683" t="str">
            <v>栏杆测算长度</v>
          </cell>
          <cell r="D683" t="str">
            <v>m</v>
          </cell>
          <cell r="E683">
            <v>0</v>
          </cell>
          <cell r="F683">
            <v>0</v>
          </cell>
          <cell r="G683">
            <v>0</v>
          </cell>
          <cell r="H683">
            <v>0</v>
          </cell>
          <cell r="I683">
            <v>0.10999999999999999</v>
          </cell>
          <cell r="J683">
            <v>0</v>
          </cell>
          <cell r="K683">
            <v>0</v>
          </cell>
          <cell r="L683">
            <v>0</v>
          </cell>
          <cell r="M683">
            <v>0</v>
          </cell>
          <cell r="O683" t="str">
            <v>*</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row>
        <row r="684">
          <cell r="B684" t="str">
            <v>酒店</v>
          </cell>
          <cell r="C684" t="str">
            <v>栏杆测算长度</v>
          </cell>
          <cell r="D684" t="str">
            <v>m</v>
          </cell>
          <cell r="E684">
            <v>0</v>
          </cell>
          <cell r="F684">
            <v>0</v>
          </cell>
          <cell r="G684">
            <v>0</v>
          </cell>
          <cell r="H684">
            <v>0</v>
          </cell>
          <cell r="I684">
            <v>0.10999999999999999</v>
          </cell>
          <cell r="J684">
            <v>0</v>
          </cell>
          <cell r="K684">
            <v>0</v>
          </cell>
          <cell r="L684">
            <v>0</v>
          </cell>
          <cell r="M684">
            <v>0</v>
          </cell>
          <cell r="O684" t="str">
            <v>*</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row>
        <row r="685">
          <cell r="B685" t="str">
            <v>医院（自持）</v>
          </cell>
          <cell r="C685" t="str">
            <v>栏杆测算长度</v>
          </cell>
          <cell r="D685" t="str">
            <v>m</v>
          </cell>
          <cell r="E685">
            <v>0</v>
          </cell>
          <cell r="F685">
            <v>0</v>
          </cell>
          <cell r="G685">
            <v>0</v>
          </cell>
          <cell r="H685">
            <v>0</v>
          </cell>
          <cell r="I685">
            <v>0.10999999999999999</v>
          </cell>
          <cell r="J685">
            <v>0</v>
          </cell>
          <cell r="K685">
            <v>0</v>
          </cell>
          <cell r="L685">
            <v>0</v>
          </cell>
          <cell r="M685">
            <v>0</v>
          </cell>
          <cell r="O685" t="str">
            <v>*</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row>
        <row r="686">
          <cell r="B686" t="str">
            <v>地上计容车库</v>
          </cell>
          <cell r="C686" t="str">
            <v>栏杆测算长度</v>
          </cell>
          <cell r="D686" t="str">
            <v>m</v>
          </cell>
          <cell r="E686">
            <v>0</v>
          </cell>
          <cell r="F686">
            <v>0</v>
          </cell>
          <cell r="G686">
            <v>0</v>
          </cell>
          <cell r="H686">
            <v>0</v>
          </cell>
          <cell r="I686">
            <v>0.10999999999999999</v>
          </cell>
          <cell r="J686">
            <v>0</v>
          </cell>
          <cell r="K686">
            <v>0</v>
          </cell>
          <cell r="L686">
            <v>0</v>
          </cell>
          <cell r="M686">
            <v>0</v>
          </cell>
          <cell r="O686" t="str">
            <v>*</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row>
        <row r="687">
          <cell r="B687" t="str">
            <v>非人防地下室</v>
          </cell>
          <cell r="C687" t="str">
            <v>栏杆测算长度</v>
          </cell>
          <cell r="D687" t="str">
            <v>m</v>
          </cell>
          <cell r="E687">
            <v>0</v>
          </cell>
          <cell r="F687">
            <v>0</v>
          </cell>
          <cell r="G687">
            <v>0</v>
          </cell>
          <cell r="H687">
            <v>0</v>
          </cell>
          <cell r="I687">
            <v>0.10999999999999999</v>
          </cell>
          <cell r="J687">
            <v>0</v>
          </cell>
          <cell r="K687">
            <v>0</v>
          </cell>
          <cell r="L687">
            <v>0</v>
          </cell>
          <cell r="M687">
            <v>0</v>
          </cell>
          <cell r="O687" t="str">
            <v>*</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row>
        <row r="688">
          <cell r="B688" t="str">
            <v>人防地下室</v>
          </cell>
          <cell r="C688" t="str">
            <v>栏杆测算长度</v>
          </cell>
          <cell r="D688" t="str">
            <v>m</v>
          </cell>
          <cell r="E688">
            <v>0</v>
          </cell>
          <cell r="F688">
            <v>0</v>
          </cell>
          <cell r="G688">
            <v>0</v>
          </cell>
          <cell r="H688">
            <v>0</v>
          </cell>
          <cell r="I688">
            <v>0.10999999999999999</v>
          </cell>
          <cell r="J688">
            <v>0</v>
          </cell>
          <cell r="K688">
            <v>0</v>
          </cell>
          <cell r="L688">
            <v>0</v>
          </cell>
          <cell r="M688">
            <v>0</v>
          </cell>
          <cell r="O688" t="str">
            <v>*</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row>
        <row r="689">
          <cell r="B689" t="str">
            <v>独立会所（综合楼）</v>
          </cell>
          <cell r="C689" t="str">
            <v>栏杆测算长度</v>
          </cell>
          <cell r="D689" t="str">
            <v>m</v>
          </cell>
          <cell r="E689">
            <v>0</v>
          </cell>
          <cell r="F689">
            <v>0</v>
          </cell>
          <cell r="G689">
            <v>0</v>
          </cell>
          <cell r="H689">
            <v>0</v>
          </cell>
          <cell r="I689">
            <v>0.10999999999999999</v>
          </cell>
          <cell r="J689">
            <v>0</v>
          </cell>
          <cell r="K689">
            <v>0</v>
          </cell>
          <cell r="L689">
            <v>0</v>
          </cell>
          <cell r="M689">
            <v>0</v>
          </cell>
          <cell r="O689" t="str">
            <v>*</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row>
        <row r="690">
          <cell r="B690" t="str">
            <v>活动中心</v>
          </cell>
          <cell r="C690" t="str">
            <v>栏杆测算长度</v>
          </cell>
          <cell r="D690" t="str">
            <v>m</v>
          </cell>
          <cell r="E690">
            <v>0</v>
          </cell>
          <cell r="F690">
            <v>0</v>
          </cell>
          <cell r="G690">
            <v>0</v>
          </cell>
          <cell r="H690">
            <v>0</v>
          </cell>
          <cell r="I690">
            <v>0.10999999999999999</v>
          </cell>
          <cell r="J690">
            <v>0</v>
          </cell>
          <cell r="K690">
            <v>0</v>
          </cell>
          <cell r="L690">
            <v>0</v>
          </cell>
          <cell r="M690">
            <v>0</v>
          </cell>
          <cell r="O690" t="str">
            <v>*</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row>
        <row r="691">
          <cell r="B691" t="str">
            <v>商贸市场</v>
          </cell>
          <cell r="C691" t="str">
            <v>栏杆测算长度</v>
          </cell>
          <cell r="D691" t="str">
            <v>m</v>
          </cell>
          <cell r="E691">
            <v>0</v>
          </cell>
          <cell r="F691">
            <v>0</v>
          </cell>
          <cell r="G691">
            <v>0</v>
          </cell>
          <cell r="H691">
            <v>0</v>
          </cell>
          <cell r="I691">
            <v>0.10999999999999999</v>
          </cell>
          <cell r="J691">
            <v>0</v>
          </cell>
          <cell r="K691">
            <v>0</v>
          </cell>
          <cell r="L691">
            <v>0</v>
          </cell>
          <cell r="M691">
            <v>0</v>
          </cell>
          <cell r="O691" t="str">
            <v>*</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row>
        <row r="692">
          <cell r="B692" t="str">
            <v>医院</v>
          </cell>
          <cell r="C692" t="str">
            <v>栏杆测算长度</v>
          </cell>
          <cell r="D692" t="str">
            <v>m</v>
          </cell>
          <cell r="E692">
            <v>0</v>
          </cell>
          <cell r="F692">
            <v>0</v>
          </cell>
          <cell r="G692">
            <v>0</v>
          </cell>
          <cell r="H692">
            <v>0</v>
          </cell>
          <cell r="I692">
            <v>0.10999999999999999</v>
          </cell>
          <cell r="J692">
            <v>0</v>
          </cell>
          <cell r="K692">
            <v>0</v>
          </cell>
          <cell r="L692">
            <v>0</v>
          </cell>
          <cell r="M692">
            <v>0</v>
          </cell>
          <cell r="O692" t="str">
            <v>*</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row>
        <row r="693">
          <cell r="B693" t="str">
            <v>幼儿园</v>
          </cell>
          <cell r="C693" t="str">
            <v>栏杆测算长度</v>
          </cell>
          <cell r="D693" t="str">
            <v>m</v>
          </cell>
          <cell r="E693">
            <v>0</v>
          </cell>
          <cell r="F693">
            <v>0</v>
          </cell>
          <cell r="G693">
            <v>0</v>
          </cell>
          <cell r="H693">
            <v>0</v>
          </cell>
          <cell r="I693">
            <v>0.10999999999999999</v>
          </cell>
          <cell r="J693">
            <v>0</v>
          </cell>
          <cell r="K693">
            <v>0</v>
          </cell>
          <cell r="L693">
            <v>0</v>
          </cell>
          <cell r="M693">
            <v>0</v>
          </cell>
          <cell r="O693" t="str">
            <v>*</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row>
        <row r="694">
          <cell r="B694" t="str">
            <v>学校</v>
          </cell>
          <cell r="C694" t="str">
            <v>栏杆测算长度</v>
          </cell>
          <cell r="D694" t="str">
            <v>m</v>
          </cell>
          <cell r="E694">
            <v>0</v>
          </cell>
          <cell r="F694">
            <v>0</v>
          </cell>
          <cell r="G694">
            <v>0</v>
          </cell>
          <cell r="H694">
            <v>0</v>
          </cell>
          <cell r="I694">
            <v>0.10999999999999999</v>
          </cell>
          <cell r="J694">
            <v>0</v>
          </cell>
          <cell r="K694">
            <v>0</v>
          </cell>
          <cell r="L694">
            <v>0</v>
          </cell>
          <cell r="M694">
            <v>0</v>
          </cell>
          <cell r="O694" t="str">
            <v>*</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row>
        <row r="695">
          <cell r="B695" t="str">
            <v>员工宿舍</v>
          </cell>
          <cell r="C695" t="str">
            <v>栏杆测算长度</v>
          </cell>
          <cell r="D695" t="str">
            <v>m</v>
          </cell>
          <cell r="E695">
            <v>0</v>
          </cell>
          <cell r="F695">
            <v>0</v>
          </cell>
          <cell r="G695">
            <v>0</v>
          </cell>
          <cell r="H695">
            <v>0</v>
          </cell>
          <cell r="I695">
            <v>0.10999999999999999</v>
          </cell>
          <cell r="J695">
            <v>0</v>
          </cell>
          <cell r="K695">
            <v>0</v>
          </cell>
          <cell r="L695">
            <v>0</v>
          </cell>
          <cell r="M695">
            <v>0</v>
          </cell>
          <cell r="O695" t="str">
            <v>*</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row>
        <row r="696">
          <cell r="A696" t="str">
            <v>03.02</v>
          </cell>
          <cell r="B696" t="str">
            <v>室内精装修工程</v>
          </cell>
          <cell r="C696" t="str">
            <v>装修建筑面积</v>
          </cell>
          <cell r="D696" t="str">
            <v>m2</v>
          </cell>
          <cell r="E696">
            <v>131685.07559999998</v>
          </cell>
          <cell r="F696">
            <v>887.27213626887283</v>
          </cell>
          <cell r="G696">
            <v>116840498.34234001</v>
          </cell>
          <cell r="I696">
            <v>0.10999999999999997</v>
          </cell>
          <cell r="J696">
            <v>799.3442669088945</v>
          </cell>
          <cell r="K696">
            <v>87.927869359978331</v>
          </cell>
          <cell r="L696">
            <v>105261710.21832433</v>
          </cell>
          <cell r="M696">
            <v>11578788.124015674</v>
          </cell>
          <cell r="P696">
            <v>0</v>
          </cell>
          <cell r="Q696">
            <v>26045897.972972974</v>
          </cell>
          <cell r="R696">
            <v>2283288.6936936933</v>
          </cell>
          <cell r="S696">
            <v>62362726.483279295</v>
          </cell>
          <cell r="T696">
            <v>14569797.068378381</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105261710.21832433</v>
          </cell>
          <cell r="AS696">
            <v>0</v>
          </cell>
        </row>
        <row r="697">
          <cell r="A697" t="str">
            <v>03.02.01</v>
          </cell>
          <cell r="B697" t="str">
            <v>室内装修工程</v>
          </cell>
          <cell r="C697" t="str">
            <v>装修建筑面积</v>
          </cell>
          <cell r="D697" t="str">
            <v>m2</v>
          </cell>
          <cell r="E697">
            <v>131685.07559999998</v>
          </cell>
          <cell r="F697">
            <v>413.72885645364664</v>
          </cell>
          <cell r="G697">
            <v>54481915.740000002</v>
          </cell>
          <cell r="I697">
            <v>0.10999999999999985</v>
          </cell>
          <cell r="J697">
            <v>372.72869950778983</v>
          </cell>
          <cell r="K697">
            <v>41.000156945856816</v>
          </cell>
          <cell r="L697">
            <v>49082806.972972982</v>
          </cell>
          <cell r="M697">
            <v>5399108.7670270205</v>
          </cell>
          <cell r="P697">
            <v>0</v>
          </cell>
          <cell r="Q697">
            <v>13926064.864864865</v>
          </cell>
          <cell r="R697">
            <v>1220815.1351351351</v>
          </cell>
          <cell r="S697">
            <v>27509001.837837845</v>
          </cell>
          <cell r="T697">
            <v>6426925.1351351365</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49082806.972972982</v>
          </cell>
          <cell r="AS697">
            <v>0</v>
          </cell>
        </row>
        <row r="698">
          <cell r="B698">
            <v>100</v>
          </cell>
          <cell r="C698" t="str">
            <v>装修建筑面积</v>
          </cell>
          <cell r="D698" t="str">
            <v>m2</v>
          </cell>
          <cell r="E698">
            <v>0</v>
          </cell>
          <cell r="F698">
            <v>0</v>
          </cell>
          <cell r="G698">
            <v>0</v>
          </cell>
          <cell r="H698">
            <v>0</v>
          </cell>
          <cell r="I698">
            <v>0.10999999999999999</v>
          </cell>
          <cell r="J698">
            <v>0</v>
          </cell>
          <cell r="K698">
            <v>0</v>
          </cell>
          <cell r="L698">
            <v>0</v>
          </cell>
          <cell r="M698">
            <v>0</v>
          </cell>
          <cell r="N698" t="str">
            <v>根据1412版装修标准，大致测算，单价预估取460元/㎡，考虑20%的上浮，综合单价552元/㎡</v>
          </cell>
          <cell r="O698" t="str">
            <v>*</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row>
        <row r="699">
          <cell r="B699">
            <v>125</v>
          </cell>
          <cell r="C699" t="str">
            <v>装修建筑面积</v>
          </cell>
          <cell r="D699" t="str">
            <v>m2</v>
          </cell>
          <cell r="E699">
            <v>26670</v>
          </cell>
          <cell r="F699">
            <v>579.6</v>
          </cell>
          <cell r="G699">
            <v>15457932</v>
          </cell>
          <cell r="H699">
            <v>0</v>
          </cell>
          <cell r="I699">
            <v>0.10999999999999999</v>
          </cell>
          <cell r="J699">
            <v>522.16216216216219</v>
          </cell>
          <cell r="K699">
            <v>57.437837837837833</v>
          </cell>
          <cell r="L699">
            <v>13926064.864864865</v>
          </cell>
          <cell r="M699">
            <v>1531867.1351351347</v>
          </cell>
          <cell r="O699" t="str">
            <v>*</v>
          </cell>
          <cell r="P699">
            <v>0</v>
          </cell>
          <cell r="Q699">
            <v>13926064.864864865</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13926064.864864865</v>
          </cell>
          <cell r="AS699">
            <v>0</v>
          </cell>
        </row>
        <row r="700">
          <cell r="B700">
            <v>150</v>
          </cell>
          <cell r="C700" t="str">
            <v>装修建筑面积</v>
          </cell>
          <cell r="D700" t="str">
            <v>m2</v>
          </cell>
          <cell r="E700">
            <v>2338</v>
          </cell>
          <cell r="F700">
            <v>579.6</v>
          </cell>
          <cell r="G700">
            <v>1355104.8</v>
          </cell>
          <cell r="H700">
            <v>0</v>
          </cell>
          <cell r="I700">
            <v>0.10999999999999999</v>
          </cell>
          <cell r="J700">
            <v>522.16216216216219</v>
          </cell>
          <cell r="K700">
            <v>57.437837837837833</v>
          </cell>
          <cell r="L700">
            <v>1220815.1351351351</v>
          </cell>
          <cell r="M700">
            <v>134289.6648648649</v>
          </cell>
          <cell r="N700" t="str">
            <v>根据1412版装修标准，大致测算，单价预估取460元/㎡，考虑20%的上浮，综合单价552元/㎡</v>
          </cell>
          <cell r="O700" t="str">
            <v>*</v>
          </cell>
          <cell r="P700">
            <v>0</v>
          </cell>
          <cell r="Q700">
            <v>0</v>
          </cell>
          <cell r="R700">
            <v>1220815.1351351351</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1220815.1351351351</v>
          </cell>
          <cell r="AS700">
            <v>0</v>
          </cell>
        </row>
        <row r="701">
          <cell r="B701" t="str">
            <v>1T4(30F)</v>
          </cell>
          <cell r="C701" t="str">
            <v>装修建筑面积</v>
          </cell>
          <cell r="D701" t="str">
            <v>m2</v>
          </cell>
          <cell r="E701">
            <v>83231.669599999994</v>
          </cell>
          <cell r="F701">
            <v>366.86746987951813</v>
          </cell>
          <cell r="G701">
            <v>30534992.040000003</v>
          </cell>
          <cell r="H701">
            <v>0</v>
          </cell>
          <cell r="I701">
            <v>0.10999999999999999</v>
          </cell>
          <cell r="J701">
            <v>330.51123412569206</v>
          </cell>
          <cell r="K701">
            <v>36.35623575382607</v>
          </cell>
          <cell r="L701">
            <v>27509001.837837845</v>
          </cell>
          <cell r="M701">
            <v>3025990.2021621577</v>
          </cell>
          <cell r="O701" t="str">
            <v>*</v>
          </cell>
          <cell r="P701">
            <v>0</v>
          </cell>
          <cell r="Q701">
            <v>0</v>
          </cell>
          <cell r="R701">
            <v>0</v>
          </cell>
          <cell r="S701">
            <v>27509001.837837845</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27509001.837837845</v>
          </cell>
          <cell r="AS701">
            <v>0</v>
          </cell>
        </row>
        <row r="702">
          <cell r="B702" t="str">
            <v>1T3(30F)</v>
          </cell>
          <cell r="C702" t="str">
            <v>装修建筑面积</v>
          </cell>
          <cell r="D702" t="str">
            <v>m2</v>
          </cell>
          <cell r="E702">
            <v>19445.405999999999</v>
          </cell>
          <cell r="F702">
            <v>366.86746987951813</v>
          </cell>
          <cell r="G702">
            <v>7133886.9000000004</v>
          </cell>
          <cell r="H702">
            <v>0</v>
          </cell>
          <cell r="I702">
            <v>0.10999999999999999</v>
          </cell>
          <cell r="J702">
            <v>330.51123412569206</v>
          </cell>
          <cell r="K702">
            <v>36.35623575382607</v>
          </cell>
          <cell r="L702">
            <v>6426925.1351351365</v>
          </cell>
          <cell r="M702">
            <v>706961.76486486383</v>
          </cell>
          <cell r="N702" t="str">
            <v>根据1412版装修标准，大致测算，单价预估取460元/㎡，考虑20%的上浮，综合单价552元/㎡</v>
          </cell>
          <cell r="O702" t="str">
            <v>*</v>
          </cell>
          <cell r="P702">
            <v>0</v>
          </cell>
          <cell r="Q702">
            <v>0</v>
          </cell>
          <cell r="R702">
            <v>0</v>
          </cell>
          <cell r="S702">
            <v>0</v>
          </cell>
          <cell r="T702">
            <v>6426925.1351351365</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6426925.1351351365</v>
          </cell>
          <cell r="AS702">
            <v>0</v>
          </cell>
        </row>
        <row r="703">
          <cell r="B703" t="str">
            <v>LOFT(31F)</v>
          </cell>
          <cell r="C703" t="str">
            <v>装修建筑面积</v>
          </cell>
          <cell r="D703" t="str">
            <v>m2</v>
          </cell>
          <cell r="E703">
            <v>0</v>
          </cell>
          <cell r="F703">
            <v>366.86746987951813</v>
          </cell>
          <cell r="G703">
            <v>0</v>
          </cell>
          <cell r="H703">
            <v>0</v>
          </cell>
          <cell r="I703">
            <v>0.10999999999999999</v>
          </cell>
          <cell r="J703">
            <v>330.51123412569206</v>
          </cell>
          <cell r="K703">
            <v>36.35623575382607</v>
          </cell>
          <cell r="L703">
            <v>0</v>
          </cell>
          <cell r="M703">
            <v>0</v>
          </cell>
          <cell r="O703" t="str">
            <v>*</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row>
        <row r="704">
          <cell r="B704" t="str">
            <v>1T2(31F)</v>
          </cell>
          <cell r="C704" t="str">
            <v>装修建筑面积</v>
          </cell>
          <cell r="D704" t="str">
            <v>m2</v>
          </cell>
          <cell r="E704">
            <v>0</v>
          </cell>
          <cell r="F704">
            <v>366.86746987951813</v>
          </cell>
          <cell r="G704">
            <v>0</v>
          </cell>
          <cell r="H704">
            <v>0</v>
          </cell>
          <cell r="I704">
            <v>0.10999999999999999</v>
          </cell>
          <cell r="J704">
            <v>330.51123412569206</v>
          </cell>
          <cell r="K704">
            <v>36.35623575382607</v>
          </cell>
          <cell r="L704">
            <v>0</v>
          </cell>
          <cell r="M704">
            <v>0</v>
          </cell>
          <cell r="O704" t="str">
            <v>*</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row>
        <row r="705">
          <cell r="B705" t="str">
            <v>1T8(32F)</v>
          </cell>
          <cell r="C705" t="str">
            <v>装修建筑面积</v>
          </cell>
          <cell r="D705" t="str">
            <v>m2</v>
          </cell>
          <cell r="E705">
            <v>0</v>
          </cell>
          <cell r="F705">
            <v>366.86746987951813</v>
          </cell>
          <cell r="G705">
            <v>0</v>
          </cell>
          <cell r="H705">
            <v>0</v>
          </cell>
          <cell r="I705">
            <v>0.10999999999999999</v>
          </cell>
          <cell r="J705">
            <v>330.51123412569206</v>
          </cell>
          <cell r="K705">
            <v>36.35623575382607</v>
          </cell>
          <cell r="L705">
            <v>0</v>
          </cell>
          <cell r="M705">
            <v>0</v>
          </cell>
          <cell r="O705" t="str">
            <v>*</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row>
        <row r="706">
          <cell r="B706" t="str">
            <v>中高层洋房</v>
          </cell>
          <cell r="C706" t="str">
            <v>装修建筑面积</v>
          </cell>
          <cell r="D706" t="str">
            <v>m2</v>
          </cell>
          <cell r="E706">
            <v>0</v>
          </cell>
          <cell r="F706">
            <v>366.86746987951813</v>
          </cell>
          <cell r="G706">
            <v>0</v>
          </cell>
          <cell r="H706">
            <v>0</v>
          </cell>
          <cell r="I706">
            <v>0.10999999999999999</v>
          </cell>
          <cell r="J706">
            <v>330.51123412569206</v>
          </cell>
          <cell r="K706">
            <v>36.35623575382607</v>
          </cell>
          <cell r="L706">
            <v>0</v>
          </cell>
          <cell r="M706">
            <v>0</v>
          </cell>
          <cell r="O706" t="str">
            <v>*</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row>
        <row r="707">
          <cell r="B707" t="str">
            <v>115高层洋房</v>
          </cell>
          <cell r="C707" t="str">
            <v>装修建筑面积</v>
          </cell>
          <cell r="D707" t="str">
            <v>m2</v>
          </cell>
          <cell r="E707">
            <v>0</v>
          </cell>
          <cell r="F707">
            <v>366.86746987951813</v>
          </cell>
          <cell r="G707">
            <v>0</v>
          </cell>
          <cell r="H707">
            <v>0</v>
          </cell>
          <cell r="I707">
            <v>0.10999999999999999</v>
          </cell>
          <cell r="J707">
            <v>330.51123412569206</v>
          </cell>
          <cell r="K707">
            <v>36.35623575382607</v>
          </cell>
          <cell r="L707">
            <v>0</v>
          </cell>
          <cell r="M707">
            <v>0</v>
          </cell>
          <cell r="N707" t="str">
            <v>按照1412版装修标准测算，按356.25元/m2考虑</v>
          </cell>
          <cell r="O707" t="str">
            <v>*</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row>
        <row r="708">
          <cell r="B708" t="str">
            <v>超高层洋房</v>
          </cell>
          <cell r="C708" t="str">
            <v>装修建筑面积</v>
          </cell>
          <cell r="D708" t="str">
            <v>m2</v>
          </cell>
          <cell r="E708">
            <v>0</v>
          </cell>
          <cell r="F708">
            <v>366.86746987951813</v>
          </cell>
          <cell r="G708">
            <v>0</v>
          </cell>
          <cell r="H708">
            <v>0</v>
          </cell>
          <cell r="I708">
            <v>0.10999999999999999</v>
          </cell>
          <cell r="J708">
            <v>330.51123412569206</v>
          </cell>
          <cell r="K708">
            <v>36.35623575382607</v>
          </cell>
          <cell r="L708">
            <v>0</v>
          </cell>
          <cell r="M708">
            <v>0</v>
          </cell>
          <cell r="O708" t="str">
            <v>*</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row>
        <row r="709">
          <cell r="B709" t="str">
            <v>公寓</v>
          </cell>
          <cell r="C709" t="str">
            <v>装修建筑面积</v>
          </cell>
          <cell r="D709" t="str">
            <v>m2</v>
          </cell>
          <cell r="E709">
            <v>0</v>
          </cell>
          <cell r="F709">
            <v>366.86746987951813</v>
          </cell>
          <cell r="G709">
            <v>0</v>
          </cell>
          <cell r="H709">
            <v>0</v>
          </cell>
          <cell r="I709">
            <v>0.10999999999999999</v>
          </cell>
          <cell r="J709">
            <v>330.51123412569206</v>
          </cell>
          <cell r="K709">
            <v>36.35623575382607</v>
          </cell>
          <cell r="L709">
            <v>0</v>
          </cell>
          <cell r="M709">
            <v>0</v>
          </cell>
          <cell r="O709" t="str">
            <v>*</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row>
        <row r="710">
          <cell r="B710" t="str">
            <v>底商</v>
          </cell>
          <cell r="C710" t="str">
            <v>装修建筑面积</v>
          </cell>
          <cell r="D710" t="str">
            <v>m2</v>
          </cell>
          <cell r="E710">
            <v>0</v>
          </cell>
          <cell r="F710">
            <v>0</v>
          </cell>
          <cell r="G710">
            <v>0</v>
          </cell>
          <cell r="H710">
            <v>0</v>
          </cell>
          <cell r="I710">
            <v>0.10999999999999999</v>
          </cell>
          <cell r="J710">
            <v>0</v>
          </cell>
          <cell r="K710">
            <v>0</v>
          </cell>
          <cell r="L710">
            <v>0</v>
          </cell>
          <cell r="M710">
            <v>0</v>
          </cell>
          <cell r="O710" t="str">
            <v>*</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row>
        <row r="711">
          <cell r="B711" t="str">
            <v>商业街</v>
          </cell>
          <cell r="C711" t="str">
            <v>装修建筑面积</v>
          </cell>
          <cell r="D711" t="str">
            <v>m2</v>
          </cell>
          <cell r="E711">
            <v>0</v>
          </cell>
          <cell r="F711">
            <v>0</v>
          </cell>
          <cell r="G711">
            <v>0</v>
          </cell>
          <cell r="H711">
            <v>0</v>
          </cell>
          <cell r="I711">
            <v>0.10999999999999999</v>
          </cell>
          <cell r="J711">
            <v>0</v>
          </cell>
          <cell r="K711">
            <v>0</v>
          </cell>
          <cell r="L711">
            <v>0</v>
          </cell>
          <cell r="M711">
            <v>0</v>
          </cell>
          <cell r="O711" t="str">
            <v>*</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row>
        <row r="712">
          <cell r="B712" t="str">
            <v>综合楼</v>
          </cell>
          <cell r="C712" t="str">
            <v>装修建筑面积</v>
          </cell>
          <cell r="D712" t="str">
            <v>m2</v>
          </cell>
          <cell r="E712">
            <v>0</v>
          </cell>
          <cell r="F712">
            <v>0</v>
          </cell>
          <cell r="G712">
            <v>0</v>
          </cell>
          <cell r="H712">
            <v>0</v>
          </cell>
          <cell r="I712">
            <v>0.10999999999999999</v>
          </cell>
          <cell r="J712">
            <v>0</v>
          </cell>
          <cell r="K712">
            <v>0</v>
          </cell>
          <cell r="L712">
            <v>0</v>
          </cell>
          <cell r="M712">
            <v>0</v>
          </cell>
          <cell r="O712" t="str">
            <v>*</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row>
        <row r="713">
          <cell r="B713" t="str">
            <v>写字楼</v>
          </cell>
          <cell r="C713" t="str">
            <v>装修建筑面积</v>
          </cell>
          <cell r="D713" t="str">
            <v>m2</v>
          </cell>
          <cell r="E713">
            <v>0</v>
          </cell>
          <cell r="F713">
            <v>0</v>
          </cell>
          <cell r="G713">
            <v>0</v>
          </cell>
          <cell r="H713">
            <v>0</v>
          </cell>
          <cell r="I713">
            <v>0.10999999999999999</v>
          </cell>
          <cell r="J713">
            <v>0</v>
          </cell>
          <cell r="K713">
            <v>0</v>
          </cell>
          <cell r="L713">
            <v>0</v>
          </cell>
          <cell r="M713">
            <v>0</v>
          </cell>
          <cell r="O713" t="str">
            <v>*</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row>
        <row r="714">
          <cell r="B714" t="str">
            <v>酒店</v>
          </cell>
          <cell r="C714" t="str">
            <v>装修建筑面积</v>
          </cell>
          <cell r="D714" t="str">
            <v>m2</v>
          </cell>
          <cell r="E714">
            <v>0</v>
          </cell>
          <cell r="F714">
            <v>0</v>
          </cell>
          <cell r="G714">
            <v>0</v>
          </cell>
          <cell r="H714">
            <v>0</v>
          </cell>
          <cell r="I714">
            <v>0.10999999999999999</v>
          </cell>
          <cell r="J714">
            <v>0</v>
          </cell>
          <cell r="K714">
            <v>0</v>
          </cell>
          <cell r="L714">
            <v>0</v>
          </cell>
          <cell r="M714">
            <v>0</v>
          </cell>
          <cell r="O714" t="str">
            <v>*</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row>
        <row r="715">
          <cell r="B715" t="str">
            <v>医院（自持）</v>
          </cell>
          <cell r="C715" t="str">
            <v>装修建筑面积</v>
          </cell>
          <cell r="D715" t="str">
            <v>m2</v>
          </cell>
          <cell r="E715">
            <v>0</v>
          </cell>
          <cell r="F715">
            <v>0</v>
          </cell>
          <cell r="G715">
            <v>0</v>
          </cell>
          <cell r="H715">
            <v>0</v>
          </cell>
          <cell r="I715">
            <v>0.10999999999999999</v>
          </cell>
          <cell r="J715">
            <v>0</v>
          </cell>
          <cell r="K715">
            <v>0</v>
          </cell>
          <cell r="L715">
            <v>0</v>
          </cell>
          <cell r="M715">
            <v>0</v>
          </cell>
          <cell r="O715" t="str">
            <v>*</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row>
        <row r="716">
          <cell r="B716" t="str">
            <v>地上计容车库</v>
          </cell>
          <cell r="C716" t="str">
            <v>装修建筑面积</v>
          </cell>
          <cell r="D716" t="str">
            <v>m2</v>
          </cell>
          <cell r="E716">
            <v>0</v>
          </cell>
          <cell r="F716">
            <v>0</v>
          </cell>
          <cell r="G716">
            <v>0</v>
          </cell>
          <cell r="H716">
            <v>0</v>
          </cell>
          <cell r="I716">
            <v>0.10999999999999999</v>
          </cell>
          <cell r="J716">
            <v>0</v>
          </cell>
          <cell r="K716">
            <v>0</v>
          </cell>
          <cell r="L716">
            <v>0</v>
          </cell>
          <cell r="M716">
            <v>0</v>
          </cell>
          <cell r="O716" t="str">
            <v>*</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row>
        <row r="717">
          <cell r="B717" t="str">
            <v>非人防地下室</v>
          </cell>
          <cell r="C717" t="str">
            <v>装修建筑面积</v>
          </cell>
          <cell r="D717" t="str">
            <v>m2</v>
          </cell>
          <cell r="E717">
            <v>0</v>
          </cell>
          <cell r="F717">
            <v>0</v>
          </cell>
          <cell r="G717">
            <v>0</v>
          </cell>
          <cell r="H717">
            <v>0</v>
          </cell>
          <cell r="I717">
            <v>0.10999999999999999</v>
          </cell>
          <cell r="J717">
            <v>0</v>
          </cell>
          <cell r="K717">
            <v>0</v>
          </cell>
          <cell r="L717">
            <v>0</v>
          </cell>
          <cell r="M717">
            <v>0</v>
          </cell>
          <cell r="O717" t="str">
            <v>*</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row>
        <row r="718">
          <cell r="B718" t="str">
            <v>人防地下室</v>
          </cell>
          <cell r="C718" t="str">
            <v>装修建筑面积</v>
          </cell>
          <cell r="D718" t="str">
            <v>m2</v>
          </cell>
          <cell r="E718">
            <v>0</v>
          </cell>
          <cell r="F718">
            <v>0</v>
          </cell>
          <cell r="G718">
            <v>0</v>
          </cell>
          <cell r="H718">
            <v>0</v>
          </cell>
          <cell r="I718">
            <v>0.10999999999999999</v>
          </cell>
          <cell r="J718">
            <v>0</v>
          </cell>
          <cell r="K718">
            <v>0</v>
          </cell>
          <cell r="L718">
            <v>0</v>
          </cell>
          <cell r="M718">
            <v>0</v>
          </cell>
          <cell r="O718" t="str">
            <v>*</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row>
        <row r="719">
          <cell r="B719" t="str">
            <v>独立会所（综合楼）</v>
          </cell>
          <cell r="C719" t="str">
            <v>装修建筑面积</v>
          </cell>
          <cell r="D719" t="str">
            <v>m2</v>
          </cell>
          <cell r="E719">
            <v>0</v>
          </cell>
          <cell r="F719">
            <v>0</v>
          </cell>
          <cell r="G719">
            <v>0</v>
          </cell>
          <cell r="H719">
            <v>0</v>
          </cell>
          <cell r="I719">
            <v>0.10999999999999999</v>
          </cell>
          <cell r="J719">
            <v>0</v>
          </cell>
          <cell r="K719">
            <v>0</v>
          </cell>
          <cell r="L719">
            <v>0</v>
          </cell>
          <cell r="M719">
            <v>0</v>
          </cell>
          <cell r="O719" t="str">
            <v>*</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row>
        <row r="720">
          <cell r="B720" t="str">
            <v>活动中心</v>
          </cell>
          <cell r="C720" t="str">
            <v>装修建筑面积</v>
          </cell>
          <cell r="D720" t="str">
            <v>m2</v>
          </cell>
          <cell r="E720">
            <v>0</v>
          </cell>
          <cell r="F720">
            <v>0</v>
          </cell>
          <cell r="G720">
            <v>0</v>
          </cell>
          <cell r="H720">
            <v>0</v>
          </cell>
          <cell r="I720">
            <v>0.10999999999999999</v>
          </cell>
          <cell r="J720">
            <v>0</v>
          </cell>
          <cell r="K720">
            <v>0</v>
          </cell>
          <cell r="L720">
            <v>0</v>
          </cell>
          <cell r="M720">
            <v>0</v>
          </cell>
          <cell r="O720" t="str">
            <v>*</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row>
        <row r="721">
          <cell r="B721" t="str">
            <v>商贸市场</v>
          </cell>
          <cell r="C721" t="str">
            <v>装修建筑面积</v>
          </cell>
          <cell r="D721" t="str">
            <v>m2</v>
          </cell>
          <cell r="E721">
            <v>0</v>
          </cell>
          <cell r="F721">
            <v>0</v>
          </cell>
          <cell r="G721">
            <v>0</v>
          </cell>
          <cell r="H721">
            <v>0</v>
          </cell>
          <cell r="I721">
            <v>0.10999999999999999</v>
          </cell>
          <cell r="J721">
            <v>0</v>
          </cell>
          <cell r="K721">
            <v>0</v>
          </cell>
          <cell r="L721">
            <v>0</v>
          </cell>
          <cell r="M721">
            <v>0</v>
          </cell>
          <cell r="O721" t="str">
            <v>*</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row>
        <row r="722">
          <cell r="B722" t="str">
            <v>医院</v>
          </cell>
          <cell r="C722" t="str">
            <v>装修建筑面积</v>
          </cell>
          <cell r="D722" t="str">
            <v>m2</v>
          </cell>
          <cell r="E722">
            <v>0</v>
          </cell>
          <cell r="F722">
            <v>0</v>
          </cell>
          <cell r="G722">
            <v>0</v>
          </cell>
          <cell r="H722">
            <v>0</v>
          </cell>
          <cell r="I722">
            <v>0.10999999999999999</v>
          </cell>
          <cell r="J722">
            <v>0</v>
          </cell>
          <cell r="K722">
            <v>0</v>
          </cell>
          <cell r="L722">
            <v>0</v>
          </cell>
          <cell r="M722">
            <v>0</v>
          </cell>
          <cell r="O722" t="str">
            <v>*</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row>
        <row r="723">
          <cell r="B723" t="str">
            <v>幼儿园</v>
          </cell>
          <cell r="C723" t="str">
            <v>装修建筑面积</v>
          </cell>
          <cell r="D723" t="str">
            <v>m2</v>
          </cell>
          <cell r="E723">
            <v>0</v>
          </cell>
          <cell r="F723">
            <v>0</v>
          </cell>
          <cell r="G723">
            <v>0</v>
          </cell>
          <cell r="H723">
            <v>0</v>
          </cell>
          <cell r="I723">
            <v>0.10999999999999999</v>
          </cell>
          <cell r="J723">
            <v>0</v>
          </cell>
          <cell r="K723">
            <v>0</v>
          </cell>
          <cell r="L723">
            <v>0</v>
          </cell>
          <cell r="M723">
            <v>0</v>
          </cell>
          <cell r="O723" t="str">
            <v>*</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row>
        <row r="724">
          <cell r="B724" t="str">
            <v>学校</v>
          </cell>
          <cell r="C724" t="str">
            <v>装修建筑面积</v>
          </cell>
          <cell r="D724" t="str">
            <v>m2</v>
          </cell>
          <cell r="E724">
            <v>0</v>
          </cell>
          <cell r="F724">
            <v>0</v>
          </cell>
          <cell r="G724">
            <v>0</v>
          </cell>
          <cell r="H724">
            <v>0</v>
          </cell>
          <cell r="I724">
            <v>0.10999999999999999</v>
          </cell>
          <cell r="J724">
            <v>0</v>
          </cell>
          <cell r="K724">
            <v>0</v>
          </cell>
          <cell r="L724">
            <v>0</v>
          </cell>
          <cell r="M724">
            <v>0</v>
          </cell>
          <cell r="O724" t="str">
            <v>*</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row>
        <row r="725">
          <cell r="B725" t="str">
            <v>员工宿舍</v>
          </cell>
          <cell r="C725" t="str">
            <v>装修建筑面积</v>
          </cell>
          <cell r="D725" t="str">
            <v>m2</v>
          </cell>
          <cell r="E725">
            <v>0</v>
          </cell>
          <cell r="F725">
            <v>0</v>
          </cell>
          <cell r="G725">
            <v>0</v>
          </cell>
          <cell r="H725">
            <v>0</v>
          </cell>
          <cell r="I725">
            <v>0.10999999999999999</v>
          </cell>
          <cell r="J725">
            <v>0</v>
          </cell>
          <cell r="K725">
            <v>0</v>
          </cell>
          <cell r="L725">
            <v>0</v>
          </cell>
          <cell r="M725">
            <v>0</v>
          </cell>
          <cell r="O725" t="str">
            <v>*</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row>
        <row r="726">
          <cell r="A726" t="str">
            <v>03.02.02</v>
          </cell>
          <cell r="B726" t="str">
            <v>室内装修水电</v>
          </cell>
          <cell r="C726" t="str">
            <v>装修建筑面积</v>
          </cell>
          <cell r="E726">
            <v>131685.07559999998</v>
          </cell>
          <cell r="F726">
            <v>198.49677862811666</v>
          </cell>
          <cell r="G726">
            <v>26139063.300000004</v>
          </cell>
          <cell r="I726">
            <v>0.10999999999999986</v>
          </cell>
          <cell r="J726">
            <v>178.82592669199701</v>
          </cell>
          <cell r="K726">
            <v>19.670851936119647</v>
          </cell>
          <cell r="L726">
            <v>23548705.675675683</v>
          </cell>
          <cell r="M726">
            <v>2590357.6243243217</v>
          </cell>
          <cell r="P726">
            <v>0</v>
          </cell>
          <cell r="Q726">
            <v>5512400.6756756762</v>
          </cell>
          <cell r="R726">
            <v>483239.32432432432</v>
          </cell>
          <cell r="S726">
            <v>14228794.054054057</v>
          </cell>
          <cell r="T726">
            <v>3324271.6216216222</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23548705.675675683</v>
          </cell>
          <cell r="AS726">
            <v>0</v>
          </cell>
        </row>
        <row r="727">
          <cell r="B727">
            <v>100</v>
          </cell>
          <cell r="C727" t="str">
            <v>装修建筑面积</v>
          </cell>
          <cell r="D727" t="str">
            <v>m2</v>
          </cell>
          <cell r="E727">
            <v>0</v>
          </cell>
          <cell r="F727">
            <v>0</v>
          </cell>
          <cell r="G727">
            <v>0</v>
          </cell>
          <cell r="H727">
            <v>0</v>
          </cell>
          <cell r="I727">
            <v>0.10999999999999999</v>
          </cell>
          <cell r="J727">
            <v>0</v>
          </cell>
          <cell r="K727">
            <v>0</v>
          </cell>
          <cell r="L727">
            <v>0</v>
          </cell>
          <cell r="M727">
            <v>0</v>
          </cell>
          <cell r="N727" t="str">
            <v>按照1412版装修标准测算，按199.50元/m2考虑</v>
          </cell>
          <cell r="O727" t="str">
            <v>*</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row>
        <row r="728">
          <cell r="B728">
            <v>125</v>
          </cell>
          <cell r="C728" t="str">
            <v>装修建筑面积</v>
          </cell>
          <cell r="D728" t="str">
            <v>m2</v>
          </cell>
          <cell r="E728">
            <v>26670</v>
          </cell>
          <cell r="F728">
            <v>229.42499999999998</v>
          </cell>
          <cell r="G728">
            <v>6118764.75</v>
          </cell>
          <cell r="H728">
            <v>0</v>
          </cell>
          <cell r="I728">
            <v>0.10999999999999999</v>
          </cell>
          <cell r="J728">
            <v>206.68918918918919</v>
          </cell>
          <cell r="K728">
            <v>22.73581081081079</v>
          </cell>
          <cell r="L728">
            <v>5512400.6756756762</v>
          </cell>
          <cell r="M728">
            <v>606364.0743243238</v>
          </cell>
          <cell r="O728" t="str">
            <v>*</v>
          </cell>
          <cell r="P728">
            <v>0</v>
          </cell>
          <cell r="Q728">
            <v>5512400.6756756762</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5512400.6756756762</v>
          </cell>
          <cell r="AS728">
            <v>0</v>
          </cell>
        </row>
        <row r="729">
          <cell r="B729">
            <v>150</v>
          </cell>
          <cell r="C729" t="str">
            <v>装修建筑面积</v>
          </cell>
          <cell r="D729" t="str">
            <v>m2</v>
          </cell>
          <cell r="E729">
            <v>2338</v>
          </cell>
          <cell r="F729">
            <v>229.42499999999998</v>
          </cell>
          <cell r="G729">
            <v>536395.64999999991</v>
          </cell>
          <cell r="H729">
            <v>0</v>
          </cell>
          <cell r="I729">
            <v>0.10999999999999999</v>
          </cell>
          <cell r="J729">
            <v>206.68918918918919</v>
          </cell>
          <cell r="K729">
            <v>22.73581081081079</v>
          </cell>
          <cell r="L729">
            <v>483239.32432432432</v>
          </cell>
          <cell r="M729">
            <v>53156.325675675587</v>
          </cell>
          <cell r="N729" t="str">
            <v>按照1412版装修标准测算，按199.50元/m2考虑</v>
          </cell>
          <cell r="O729" t="str">
            <v>*</v>
          </cell>
          <cell r="P729">
            <v>0</v>
          </cell>
          <cell r="Q729">
            <v>0</v>
          </cell>
          <cell r="R729">
            <v>483239.32432432432</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483239.32432432432</v>
          </cell>
          <cell r="AS729">
            <v>0</v>
          </cell>
        </row>
        <row r="730">
          <cell r="B730" t="str">
            <v>1T4(30F)</v>
          </cell>
          <cell r="C730" t="str">
            <v>装修建筑面积</v>
          </cell>
          <cell r="D730" t="str">
            <v>m2</v>
          </cell>
          <cell r="E730">
            <v>83231.669599999994</v>
          </cell>
          <cell r="F730">
            <v>189.75903614457835</v>
          </cell>
          <cell r="G730">
            <v>15793961.400000002</v>
          </cell>
          <cell r="H730">
            <v>0</v>
          </cell>
          <cell r="I730">
            <v>0.10999999999999999</v>
          </cell>
          <cell r="J730">
            <v>170.95408661673727</v>
          </cell>
          <cell r="K730">
            <v>18.804949527841075</v>
          </cell>
          <cell r="L730">
            <v>14228794.054054057</v>
          </cell>
          <cell r="M730">
            <v>1565167.345945945</v>
          </cell>
          <cell r="O730" t="str">
            <v>*</v>
          </cell>
          <cell r="P730">
            <v>0</v>
          </cell>
          <cell r="Q730">
            <v>0</v>
          </cell>
          <cell r="R730">
            <v>0</v>
          </cell>
          <cell r="S730">
            <v>14228794.054054057</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14228794.054054057</v>
          </cell>
          <cell r="AS730">
            <v>0</v>
          </cell>
        </row>
        <row r="731">
          <cell r="B731" t="str">
            <v>1T3(30F)</v>
          </cell>
          <cell r="C731" t="str">
            <v>装修建筑面积</v>
          </cell>
          <cell r="D731" t="str">
            <v>m2</v>
          </cell>
          <cell r="E731">
            <v>19445.405999999999</v>
          </cell>
          <cell r="F731">
            <v>189.75903614457835</v>
          </cell>
          <cell r="G731">
            <v>3689941.5000000005</v>
          </cell>
          <cell r="H731">
            <v>0</v>
          </cell>
          <cell r="I731">
            <v>0.10999999999999999</v>
          </cell>
          <cell r="J731">
            <v>170.95408661673727</v>
          </cell>
          <cell r="K731">
            <v>18.804949527841075</v>
          </cell>
          <cell r="L731">
            <v>3324271.6216216222</v>
          </cell>
          <cell r="M731">
            <v>365669.87837837823</v>
          </cell>
          <cell r="N731" t="str">
            <v>按照1412版装修标准测算，按199.50元/m2考虑</v>
          </cell>
          <cell r="O731" t="str">
            <v>*</v>
          </cell>
          <cell r="P731">
            <v>0</v>
          </cell>
          <cell r="Q731">
            <v>0</v>
          </cell>
          <cell r="R731">
            <v>0</v>
          </cell>
          <cell r="S731">
            <v>0</v>
          </cell>
          <cell r="T731">
            <v>3324271.6216216222</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3324271.6216216222</v>
          </cell>
          <cell r="AS731">
            <v>0</v>
          </cell>
        </row>
        <row r="732">
          <cell r="B732" t="str">
            <v>LOFT(31F)</v>
          </cell>
          <cell r="C732" t="str">
            <v>装修建筑面积</v>
          </cell>
          <cell r="D732" t="str">
            <v>m2</v>
          </cell>
          <cell r="E732">
            <v>0</v>
          </cell>
          <cell r="F732">
            <v>0</v>
          </cell>
          <cell r="G732">
            <v>0</v>
          </cell>
          <cell r="H732">
            <v>0</v>
          </cell>
          <cell r="I732">
            <v>0.10999999999999999</v>
          </cell>
          <cell r="J732">
            <v>0</v>
          </cell>
          <cell r="K732">
            <v>0</v>
          </cell>
          <cell r="L732">
            <v>0</v>
          </cell>
          <cell r="M732">
            <v>0</v>
          </cell>
          <cell r="O732" t="str">
            <v>*</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row>
        <row r="733">
          <cell r="B733" t="str">
            <v>1T2(31F)</v>
          </cell>
          <cell r="C733" t="str">
            <v>装修建筑面积</v>
          </cell>
          <cell r="D733" t="str">
            <v>m2</v>
          </cell>
          <cell r="E733">
            <v>0</v>
          </cell>
          <cell r="F733">
            <v>0</v>
          </cell>
          <cell r="G733">
            <v>0</v>
          </cell>
          <cell r="H733">
            <v>0</v>
          </cell>
          <cell r="I733">
            <v>0.10999999999999999</v>
          </cell>
          <cell r="J733">
            <v>0</v>
          </cell>
          <cell r="K733">
            <v>0</v>
          </cell>
          <cell r="L733">
            <v>0</v>
          </cell>
          <cell r="M733">
            <v>0</v>
          </cell>
          <cell r="O733" t="str">
            <v>*</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row>
        <row r="734">
          <cell r="B734" t="str">
            <v>1T8(32F)</v>
          </cell>
          <cell r="C734" t="str">
            <v>装修建筑面积</v>
          </cell>
          <cell r="D734" t="str">
            <v>m2</v>
          </cell>
          <cell r="E734">
            <v>0</v>
          </cell>
          <cell r="F734">
            <v>0</v>
          </cell>
          <cell r="G734">
            <v>0</v>
          </cell>
          <cell r="H734">
            <v>0</v>
          </cell>
          <cell r="I734">
            <v>0.10999999999999999</v>
          </cell>
          <cell r="J734">
            <v>0</v>
          </cell>
          <cell r="K734">
            <v>0</v>
          </cell>
          <cell r="L734">
            <v>0</v>
          </cell>
          <cell r="M734">
            <v>0</v>
          </cell>
          <cell r="O734" t="str">
            <v>*</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row>
        <row r="735">
          <cell r="B735" t="str">
            <v>中高层洋房</v>
          </cell>
          <cell r="C735" t="str">
            <v>装修建筑面积</v>
          </cell>
          <cell r="D735" t="str">
            <v>m2</v>
          </cell>
          <cell r="E735">
            <v>0</v>
          </cell>
          <cell r="F735">
            <v>0</v>
          </cell>
          <cell r="G735">
            <v>0</v>
          </cell>
          <cell r="H735">
            <v>0</v>
          </cell>
          <cell r="I735">
            <v>0.10999999999999999</v>
          </cell>
          <cell r="J735">
            <v>0</v>
          </cell>
          <cell r="K735">
            <v>0</v>
          </cell>
          <cell r="L735">
            <v>0</v>
          </cell>
          <cell r="M735">
            <v>0</v>
          </cell>
          <cell r="O735" t="str">
            <v>*</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row>
        <row r="736">
          <cell r="B736" t="str">
            <v>115高层洋房</v>
          </cell>
          <cell r="C736" t="str">
            <v>装修建筑面积</v>
          </cell>
          <cell r="D736" t="str">
            <v>m2</v>
          </cell>
          <cell r="E736">
            <v>0</v>
          </cell>
          <cell r="F736">
            <v>0</v>
          </cell>
          <cell r="G736">
            <v>0</v>
          </cell>
          <cell r="H736">
            <v>0</v>
          </cell>
          <cell r="I736">
            <v>0.10999999999999999</v>
          </cell>
          <cell r="J736">
            <v>0</v>
          </cell>
          <cell r="K736">
            <v>0</v>
          </cell>
          <cell r="L736">
            <v>0</v>
          </cell>
          <cell r="M736">
            <v>0</v>
          </cell>
          <cell r="N736" t="str">
            <v>按照1412版装修标准测算，按196.67元/m2考虑</v>
          </cell>
          <cell r="O736" t="str">
            <v>*</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row>
        <row r="737">
          <cell r="B737" t="str">
            <v>超高层洋房</v>
          </cell>
          <cell r="C737" t="str">
            <v>装修建筑面积</v>
          </cell>
          <cell r="D737" t="str">
            <v>m2</v>
          </cell>
          <cell r="E737">
            <v>0</v>
          </cell>
          <cell r="F737">
            <v>0</v>
          </cell>
          <cell r="G737">
            <v>0</v>
          </cell>
          <cell r="H737">
            <v>0</v>
          </cell>
          <cell r="I737">
            <v>0.10999999999999999</v>
          </cell>
          <cell r="J737">
            <v>0</v>
          </cell>
          <cell r="K737">
            <v>0</v>
          </cell>
          <cell r="L737">
            <v>0</v>
          </cell>
          <cell r="M737">
            <v>0</v>
          </cell>
          <cell r="O737" t="str">
            <v>*</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row>
        <row r="738">
          <cell r="B738" t="str">
            <v>公寓</v>
          </cell>
          <cell r="C738" t="str">
            <v>装修建筑面积</v>
          </cell>
          <cell r="D738" t="str">
            <v>m2</v>
          </cell>
          <cell r="E738">
            <v>0</v>
          </cell>
          <cell r="F738">
            <v>0</v>
          </cell>
          <cell r="G738">
            <v>0</v>
          </cell>
          <cell r="H738">
            <v>0</v>
          </cell>
          <cell r="I738">
            <v>0.10999999999999999</v>
          </cell>
          <cell r="J738">
            <v>0</v>
          </cell>
          <cell r="K738">
            <v>0</v>
          </cell>
          <cell r="L738">
            <v>0</v>
          </cell>
          <cell r="M738">
            <v>0</v>
          </cell>
          <cell r="O738" t="str">
            <v>*</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row>
        <row r="739">
          <cell r="B739" t="str">
            <v>底商</v>
          </cell>
          <cell r="C739" t="str">
            <v>装修建筑面积</v>
          </cell>
          <cell r="D739" t="str">
            <v>m2</v>
          </cell>
          <cell r="E739">
            <v>0</v>
          </cell>
          <cell r="F739">
            <v>0</v>
          </cell>
          <cell r="G739">
            <v>0</v>
          </cell>
          <cell r="H739">
            <v>0</v>
          </cell>
          <cell r="I739">
            <v>0.10999999999999999</v>
          </cell>
          <cell r="J739">
            <v>0</v>
          </cell>
          <cell r="K739">
            <v>0</v>
          </cell>
          <cell r="L739">
            <v>0</v>
          </cell>
          <cell r="M739">
            <v>0</v>
          </cell>
          <cell r="O739" t="str">
            <v>*</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row>
        <row r="740">
          <cell r="B740" t="str">
            <v>商业街</v>
          </cell>
          <cell r="C740" t="str">
            <v>装修建筑面积</v>
          </cell>
          <cell r="D740" t="str">
            <v>m2</v>
          </cell>
          <cell r="E740">
            <v>0</v>
          </cell>
          <cell r="F740">
            <v>0</v>
          </cell>
          <cell r="G740">
            <v>0</v>
          </cell>
          <cell r="H740">
            <v>0</v>
          </cell>
          <cell r="I740">
            <v>0.10999999999999999</v>
          </cell>
          <cell r="J740">
            <v>0</v>
          </cell>
          <cell r="K740">
            <v>0</v>
          </cell>
          <cell r="L740">
            <v>0</v>
          </cell>
          <cell r="M740">
            <v>0</v>
          </cell>
          <cell r="O740" t="str">
            <v>*</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row>
        <row r="741">
          <cell r="B741" t="str">
            <v>综合楼</v>
          </cell>
          <cell r="C741" t="str">
            <v>装修建筑面积</v>
          </cell>
          <cell r="D741" t="str">
            <v>m2</v>
          </cell>
          <cell r="E741">
            <v>0</v>
          </cell>
          <cell r="F741">
            <v>0</v>
          </cell>
          <cell r="G741">
            <v>0</v>
          </cell>
          <cell r="H741">
            <v>0</v>
          </cell>
          <cell r="I741">
            <v>0.10999999999999999</v>
          </cell>
          <cell r="J741">
            <v>0</v>
          </cell>
          <cell r="K741">
            <v>0</v>
          </cell>
          <cell r="L741">
            <v>0</v>
          </cell>
          <cell r="M741">
            <v>0</v>
          </cell>
          <cell r="O741" t="str">
            <v>*</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row>
        <row r="742">
          <cell r="B742" t="str">
            <v>写字楼</v>
          </cell>
          <cell r="C742" t="str">
            <v>装修建筑面积</v>
          </cell>
          <cell r="D742" t="str">
            <v>m2</v>
          </cell>
          <cell r="E742">
            <v>0</v>
          </cell>
          <cell r="F742">
            <v>0</v>
          </cell>
          <cell r="G742">
            <v>0</v>
          </cell>
          <cell r="H742">
            <v>0</v>
          </cell>
          <cell r="I742">
            <v>0.10999999999999999</v>
          </cell>
          <cell r="J742">
            <v>0</v>
          </cell>
          <cell r="K742">
            <v>0</v>
          </cell>
          <cell r="L742">
            <v>0</v>
          </cell>
          <cell r="M742">
            <v>0</v>
          </cell>
          <cell r="O742" t="str">
            <v>*</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row>
        <row r="743">
          <cell r="B743" t="str">
            <v>酒店</v>
          </cell>
          <cell r="C743" t="str">
            <v>装修建筑面积</v>
          </cell>
          <cell r="D743" t="str">
            <v>m2</v>
          </cell>
          <cell r="E743">
            <v>0</v>
          </cell>
          <cell r="F743">
            <v>0</v>
          </cell>
          <cell r="G743">
            <v>0</v>
          </cell>
          <cell r="H743">
            <v>0</v>
          </cell>
          <cell r="I743">
            <v>0.10999999999999999</v>
          </cell>
          <cell r="J743">
            <v>0</v>
          </cell>
          <cell r="K743">
            <v>0</v>
          </cell>
          <cell r="L743">
            <v>0</v>
          </cell>
          <cell r="M743">
            <v>0</v>
          </cell>
          <cell r="O743" t="str">
            <v>*</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row>
        <row r="744">
          <cell r="B744" t="str">
            <v>医院（自持）</v>
          </cell>
          <cell r="C744" t="str">
            <v>装修建筑面积</v>
          </cell>
          <cell r="D744" t="str">
            <v>m2</v>
          </cell>
          <cell r="E744">
            <v>0</v>
          </cell>
          <cell r="F744">
            <v>0</v>
          </cell>
          <cell r="G744">
            <v>0</v>
          </cell>
          <cell r="H744">
            <v>0</v>
          </cell>
          <cell r="I744">
            <v>0.10999999999999999</v>
          </cell>
          <cell r="J744">
            <v>0</v>
          </cell>
          <cell r="K744">
            <v>0</v>
          </cell>
          <cell r="L744">
            <v>0</v>
          </cell>
          <cell r="M744">
            <v>0</v>
          </cell>
          <cell r="O744" t="str">
            <v>*</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row>
        <row r="745">
          <cell r="B745" t="str">
            <v>地上计容车库</v>
          </cell>
          <cell r="C745" t="str">
            <v>装修建筑面积</v>
          </cell>
          <cell r="D745" t="str">
            <v>m2</v>
          </cell>
          <cell r="E745">
            <v>0</v>
          </cell>
          <cell r="F745">
            <v>0</v>
          </cell>
          <cell r="G745">
            <v>0</v>
          </cell>
          <cell r="H745">
            <v>0</v>
          </cell>
          <cell r="I745">
            <v>0.10999999999999999</v>
          </cell>
          <cell r="J745">
            <v>0</v>
          </cell>
          <cell r="K745">
            <v>0</v>
          </cell>
          <cell r="L745">
            <v>0</v>
          </cell>
          <cell r="M745">
            <v>0</v>
          </cell>
          <cell r="O745" t="str">
            <v>*</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row>
        <row r="746">
          <cell r="B746" t="str">
            <v>非人防地下室</v>
          </cell>
          <cell r="C746" t="str">
            <v>装修建筑面积</v>
          </cell>
          <cell r="D746" t="str">
            <v>m2</v>
          </cell>
          <cell r="E746">
            <v>0</v>
          </cell>
          <cell r="F746">
            <v>0</v>
          </cell>
          <cell r="G746">
            <v>0</v>
          </cell>
          <cell r="H746">
            <v>0</v>
          </cell>
          <cell r="I746">
            <v>0.10999999999999999</v>
          </cell>
          <cell r="J746">
            <v>0</v>
          </cell>
          <cell r="K746">
            <v>0</v>
          </cell>
          <cell r="L746">
            <v>0</v>
          </cell>
          <cell r="M746">
            <v>0</v>
          </cell>
          <cell r="O746" t="str">
            <v>*</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row>
        <row r="747">
          <cell r="B747" t="str">
            <v>人防地下室</v>
          </cell>
          <cell r="C747" t="str">
            <v>装修建筑面积</v>
          </cell>
          <cell r="D747" t="str">
            <v>m2</v>
          </cell>
          <cell r="E747">
            <v>0</v>
          </cell>
          <cell r="F747">
            <v>0</v>
          </cell>
          <cell r="G747">
            <v>0</v>
          </cell>
          <cell r="H747">
            <v>0</v>
          </cell>
          <cell r="I747">
            <v>0.10999999999999999</v>
          </cell>
          <cell r="J747">
            <v>0</v>
          </cell>
          <cell r="K747">
            <v>0</v>
          </cell>
          <cell r="L747">
            <v>0</v>
          </cell>
          <cell r="M747">
            <v>0</v>
          </cell>
          <cell r="O747" t="str">
            <v>*</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row>
        <row r="748">
          <cell r="B748" t="str">
            <v>独立会所（综合楼）</v>
          </cell>
          <cell r="C748" t="str">
            <v>装修建筑面积</v>
          </cell>
          <cell r="D748" t="str">
            <v>m2</v>
          </cell>
          <cell r="E748">
            <v>0</v>
          </cell>
          <cell r="F748">
            <v>0</v>
          </cell>
          <cell r="G748">
            <v>0</v>
          </cell>
          <cell r="H748">
            <v>0</v>
          </cell>
          <cell r="I748">
            <v>0.10999999999999999</v>
          </cell>
          <cell r="J748">
            <v>0</v>
          </cell>
          <cell r="K748">
            <v>0</v>
          </cell>
          <cell r="L748">
            <v>0</v>
          </cell>
          <cell r="M748">
            <v>0</v>
          </cell>
          <cell r="O748" t="str">
            <v>*</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row>
        <row r="749">
          <cell r="B749" t="str">
            <v>活动中心</v>
          </cell>
          <cell r="C749" t="str">
            <v>装修建筑面积</v>
          </cell>
          <cell r="D749" t="str">
            <v>m2</v>
          </cell>
          <cell r="E749">
            <v>0</v>
          </cell>
          <cell r="F749">
            <v>0</v>
          </cell>
          <cell r="G749">
            <v>0</v>
          </cell>
          <cell r="H749">
            <v>0</v>
          </cell>
          <cell r="I749">
            <v>0.10999999999999999</v>
          </cell>
          <cell r="J749">
            <v>0</v>
          </cell>
          <cell r="K749">
            <v>0</v>
          </cell>
          <cell r="L749">
            <v>0</v>
          </cell>
          <cell r="M749">
            <v>0</v>
          </cell>
          <cell r="O749" t="str">
            <v>*</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row>
        <row r="750">
          <cell r="B750" t="str">
            <v>商贸市场</v>
          </cell>
          <cell r="C750" t="str">
            <v>装修建筑面积</v>
          </cell>
          <cell r="D750" t="str">
            <v>m2</v>
          </cell>
          <cell r="E750">
            <v>0</v>
          </cell>
          <cell r="F750">
            <v>0</v>
          </cell>
          <cell r="G750">
            <v>0</v>
          </cell>
          <cell r="H750">
            <v>0</v>
          </cell>
          <cell r="I750">
            <v>0.10999999999999999</v>
          </cell>
          <cell r="J750">
            <v>0</v>
          </cell>
          <cell r="K750">
            <v>0</v>
          </cell>
          <cell r="L750">
            <v>0</v>
          </cell>
          <cell r="M750">
            <v>0</v>
          </cell>
          <cell r="O750" t="str">
            <v>*</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row>
        <row r="751">
          <cell r="B751" t="str">
            <v>医院</v>
          </cell>
          <cell r="C751" t="str">
            <v>装修建筑面积</v>
          </cell>
          <cell r="D751" t="str">
            <v>m2</v>
          </cell>
          <cell r="E751">
            <v>0</v>
          </cell>
          <cell r="F751">
            <v>0</v>
          </cell>
          <cell r="G751">
            <v>0</v>
          </cell>
          <cell r="H751">
            <v>0</v>
          </cell>
          <cell r="I751">
            <v>0.10999999999999999</v>
          </cell>
          <cell r="J751">
            <v>0</v>
          </cell>
          <cell r="K751">
            <v>0</v>
          </cell>
          <cell r="L751">
            <v>0</v>
          </cell>
          <cell r="M751">
            <v>0</v>
          </cell>
          <cell r="O751" t="str">
            <v>*</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row>
        <row r="752">
          <cell r="B752" t="str">
            <v>幼儿园</v>
          </cell>
          <cell r="C752" t="str">
            <v>装修建筑面积</v>
          </cell>
          <cell r="D752" t="str">
            <v>m2</v>
          </cell>
          <cell r="E752">
            <v>0</v>
          </cell>
          <cell r="F752">
            <v>0</v>
          </cell>
          <cell r="G752">
            <v>0</v>
          </cell>
          <cell r="H752">
            <v>0</v>
          </cell>
          <cell r="I752">
            <v>0.10999999999999999</v>
          </cell>
          <cell r="J752">
            <v>0</v>
          </cell>
          <cell r="K752">
            <v>0</v>
          </cell>
          <cell r="L752">
            <v>0</v>
          </cell>
          <cell r="M752">
            <v>0</v>
          </cell>
          <cell r="O752" t="str">
            <v>*</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row>
        <row r="753">
          <cell r="B753" t="str">
            <v>学校</v>
          </cell>
          <cell r="C753" t="str">
            <v>装修建筑面积</v>
          </cell>
          <cell r="D753" t="str">
            <v>m2</v>
          </cell>
          <cell r="E753">
            <v>0</v>
          </cell>
          <cell r="F753">
            <v>0</v>
          </cell>
          <cell r="G753">
            <v>0</v>
          </cell>
          <cell r="H753">
            <v>0</v>
          </cell>
          <cell r="I753">
            <v>0.10999999999999999</v>
          </cell>
          <cell r="J753">
            <v>0</v>
          </cell>
          <cell r="K753">
            <v>0</v>
          </cell>
          <cell r="L753">
            <v>0</v>
          </cell>
          <cell r="M753">
            <v>0</v>
          </cell>
          <cell r="O753" t="str">
            <v>*</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row>
        <row r="754">
          <cell r="B754" t="str">
            <v>员工宿舍</v>
          </cell>
          <cell r="C754" t="str">
            <v>装修建筑面积</v>
          </cell>
          <cell r="D754" t="str">
            <v>m2</v>
          </cell>
          <cell r="E754">
            <v>0</v>
          </cell>
          <cell r="F754">
            <v>0</v>
          </cell>
          <cell r="G754">
            <v>0</v>
          </cell>
          <cell r="H754">
            <v>0</v>
          </cell>
          <cell r="I754">
            <v>0.10999999999999999</v>
          </cell>
          <cell r="J754">
            <v>0</v>
          </cell>
          <cell r="K754">
            <v>0</v>
          </cell>
          <cell r="L754">
            <v>0</v>
          </cell>
          <cell r="M754">
            <v>0</v>
          </cell>
          <cell r="O754" t="str">
            <v>*</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row>
        <row r="755">
          <cell r="A755" t="str">
            <v>03.02.03</v>
          </cell>
          <cell r="B755" t="str">
            <v>四大类费用（室内木门，木地板，木扶手，厨柜）</v>
          </cell>
          <cell r="C755" t="str">
            <v>装修建筑面积</v>
          </cell>
          <cell r="D755" t="str">
            <v>m2</v>
          </cell>
          <cell r="E755">
            <v>131685.07559999998</v>
          </cell>
          <cell r="F755">
            <v>201.87883584280681</v>
          </cell>
          <cell r="G755">
            <v>26584429.760000002</v>
          </cell>
          <cell r="H755">
            <v>0</v>
          </cell>
          <cell r="I755">
            <v>0.10999999999999995</v>
          </cell>
          <cell r="J755">
            <v>181.87282508360974</v>
          </cell>
          <cell r="K755">
            <v>20.006010759197068</v>
          </cell>
          <cell r="L755">
            <v>23949936.720720723</v>
          </cell>
          <cell r="M755">
            <v>2634493.0392792784</v>
          </cell>
          <cell r="P755">
            <v>0</v>
          </cell>
          <cell r="Q755">
            <v>4805405.4054054059</v>
          </cell>
          <cell r="R755">
            <v>421261.2612612613</v>
          </cell>
          <cell r="S755">
            <v>15177380.324324325</v>
          </cell>
          <cell r="T755">
            <v>3545889.7297297302</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23949936.720720723</v>
          </cell>
          <cell r="AS755">
            <v>0</v>
          </cell>
        </row>
        <row r="756">
          <cell r="B756">
            <v>100</v>
          </cell>
          <cell r="C756" t="str">
            <v>装修建筑面积</v>
          </cell>
          <cell r="D756" t="str">
            <v>m2</v>
          </cell>
          <cell r="E756">
            <v>0</v>
          </cell>
          <cell r="F756">
            <v>0</v>
          </cell>
          <cell r="G756">
            <v>0</v>
          </cell>
          <cell r="H756">
            <v>0</v>
          </cell>
          <cell r="I756">
            <v>0.10999999999999999</v>
          </cell>
          <cell r="J756">
            <v>0</v>
          </cell>
          <cell r="K756">
            <v>0</v>
          </cell>
          <cell r="L756">
            <v>0</v>
          </cell>
          <cell r="M756">
            <v>0</v>
          </cell>
          <cell r="N756" t="str">
            <v>测算面积系数按1，单价按照1412版装修标准测算，按220元/m2考虑</v>
          </cell>
          <cell r="O756" t="str">
            <v>*</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row>
        <row r="757">
          <cell r="B757">
            <v>125</v>
          </cell>
          <cell r="C757" t="str">
            <v>装修建筑面积</v>
          </cell>
          <cell r="D757" t="str">
            <v>m2</v>
          </cell>
          <cell r="E757">
            <v>26670</v>
          </cell>
          <cell r="F757">
            <v>200</v>
          </cell>
          <cell r="G757">
            <v>5334000</v>
          </cell>
          <cell r="H757">
            <v>0</v>
          </cell>
          <cell r="I757">
            <v>0.10999999999999999</v>
          </cell>
          <cell r="J757">
            <v>180.1801801801802</v>
          </cell>
          <cell r="K757">
            <v>19.819819819819799</v>
          </cell>
          <cell r="L757">
            <v>4805405.4054054059</v>
          </cell>
          <cell r="M757">
            <v>528594.59459459409</v>
          </cell>
          <cell r="O757" t="str">
            <v>*</v>
          </cell>
          <cell r="P757">
            <v>0</v>
          </cell>
          <cell r="Q757">
            <v>4805405.4054054059</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4805405.4054054059</v>
          </cell>
          <cell r="AS757">
            <v>0</v>
          </cell>
        </row>
        <row r="758">
          <cell r="B758">
            <v>150</v>
          </cell>
          <cell r="C758" t="str">
            <v>装修建筑面积</v>
          </cell>
          <cell r="D758" t="str">
            <v>m2</v>
          </cell>
          <cell r="E758">
            <v>2338</v>
          </cell>
          <cell r="F758">
            <v>200</v>
          </cell>
          <cell r="G758">
            <v>467600</v>
          </cell>
          <cell r="H758">
            <v>0</v>
          </cell>
          <cell r="I758">
            <v>0.10999999999999999</v>
          </cell>
          <cell r="J758">
            <v>180.1801801801802</v>
          </cell>
          <cell r="K758">
            <v>19.819819819819799</v>
          </cell>
          <cell r="L758">
            <v>421261.2612612613</v>
          </cell>
          <cell r="M758">
            <v>46338.738738738699</v>
          </cell>
          <cell r="N758" t="str">
            <v>测算面积系数按1，单价按照1412版装修标准测算，按220元/m2考虑</v>
          </cell>
          <cell r="O758" t="str">
            <v>*</v>
          </cell>
          <cell r="P758">
            <v>0</v>
          </cell>
          <cell r="Q758">
            <v>0</v>
          </cell>
          <cell r="R758">
            <v>421261.2612612613</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421261.2612612613</v>
          </cell>
          <cell r="AS758">
            <v>0</v>
          </cell>
        </row>
        <row r="759">
          <cell r="B759" t="str">
            <v>1T4(30F)</v>
          </cell>
          <cell r="C759" t="str">
            <v>装修建筑面积</v>
          </cell>
          <cell r="D759" t="str">
            <v>m2</v>
          </cell>
          <cell r="E759">
            <v>83231.669599999994</v>
          </cell>
          <cell r="F759">
            <v>202.40963855421688</v>
          </cell>
          <cell r="G759">
            <v>16846892.16</v>
          </cell>
          <cell r="H759">
            <v>0</v>
          </cell>
          <cell r="I759">
            <v>0.10999999999999999</v>
          </cell>
          <cell r="J759">
            <v>182.35102572451973</v>
          </cell>
          <cell r="K759">
            <v>20.058612829697154</v>
          </cell>
          <cell r="L759">
            <v>15177380.324324325</v>
          </cell>
          <cell r="M759">
            <v>1669511.8356756754</v>
          </cell>
          <cell r="O759" t="str">
            <v>*</v>
          </cell>
          <cell r="P759">
            <v>0</v>
          </cell>
          <cell r="Q759">
            <v>0</v>
          </cell>
          <cell r="R759">
            <v>0</v>
          </cell>
          <cell r="S759">
            <v>15177380.324324325</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15177380.324324325</v>
          </cell>
          <cell r="AS759">
            <v>0</v>
          </cell>
        </row>
        <row r="760">
          <cell r="B760" t="str">
            <v>1T3(30F)</v>
          </cell>
          <cell r="C760" t="str">
            <v>装修建筑面积</v>
          </cell>
          <cell r="D760" t="str">
            <v>m2</v>
          </cell>
          <cell r="E760">
            <v>19445.405999999999</v>
          </cell>
          <cell r="F760">
            <v>202.40963855421688</v>
          </cell>
          <cell r="G760">
            <v>3935937.6</v>
          </cell>
          <cell r="H760">
            <v>0</v>
          </cell>
          <cell r="I760">
            <v>0.10999999999999999</v>
          </cell>
          <cell r="J760">
            <v>182.35102572451973</v>
          </cell>
          <cell r="K760">
            <v>20.058612829697154</v>
          </cell>
          <cell r="L760">
            <v>3545889.7297297302</v>
          </cell>
          <cell r="M760">
            <v>390047.87027026992</v>
          </cell>
          <cell r="N760" t="str">
            <v>测算面积系数按1，单价按照1412版装修标准测算，按220元/m2考虑</v>
          </cell>
          <cell r="O760" t="str">
            <v>*</v>
          </cell>
          <cell r="P760">
            <v>0</v>
          </cell>
          <cell r="Q760">
            <v>0</v>
          </cell>
          <cell r="R760">
            <v>0</v>
          </cell>
          <cell r="S760">
            <v>0</v>
          </cell>
          <cell r="T760">
            <v>3545889.7297297302</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3545889.7297297302</v>
          </cell>
          <cell r="AS760">
            <v>0</v>
          </cell>
        </row>
        <row r="761">
          <cell r="B761" t="str">
            <v>LOFT(31F)</v>
          </cell>
          <cell r="C761" t="str">
            <v>装修建筑面积</v>
          </cell>
          <cell r="D761" t="str">
            <v>m2</v>
          </cell>
          <cell r="E761">
            <v>0</v>
          </cell>
          <cell r="F761">
            <v>0</v>
          </cell>
          <cell r="G761">
            <v>0</v>
          </cell>
          <cell r="H761">
            <v>0</v>
          </cell>
          <cell r="I761">
            <v>0.10999999999999999</v>
          </cell>
          <cell r="J761">
            <v>0</v>
          </cell>
          <cell r="K761">
            <v>0</v>
          </cell>
          <cell r="L761">
            <v>0</v>
          </cell>
          <cell r="M761">
            <v>0</v>
          </cell>
          <cell r="O761" t="str">
            <v>*</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row>
        <row r="762">
          <cell r="B762" t="str">
            <v>1T2(31F)</v>
          </cell>
          <cell r="C762" t="str">
            <v>装修建筑面积</v>
          </cell>
          <cell r="D762" t="str">
            <v>m2</v>
          </cell>
          <cell r="E762">
            <v>0</v>
          </cell>
          <cell r="F762">
            <v>0</v>
          </cell>
          <cell r="G762">
            <v>0</v>
          </cell>
          <cell r="H762">
            <v>0</v>
          </cell>
          <cell r="I762">
            <v>0.10999999999999999</v>
          </cell>
          <cell r="J762">
            <v>0</v>
          </cell>
          <cell r="K762">
            <v>0</v>
          </cell>
          <cell r="L762">
            <v>0</v>
          </cell>
          <cell r="M762">
            <v>0</v>
          </cell>
          <cell r="O762" t="str">
            <v>*</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row>
        <row r="763">
          <cell r="B763" t="str">
            <v>1T8(32F)</v>
          </cell>
          <cell r="C763" t="str">
            <v>装修建筑面积</v>
          </cell>
          <cell r="D763" t="str">
            <v>m2</v>
          </cell>
          <cell r="E763">
            <v>0</v>
          </cell>
          <cell r="F763">
            <v>0</v>
          </cell>
          <cell r="G763">
            <v>0</v>
          </cell>
          <cell r="H763">
            <v>0</v>
          </cell>
          <cell r="I763">
            <v>0.10999999999999999</v>
          </cell>
          <cell r="J763">
            <v>0</v>
          </cell>
          <cell r="K763">
            <v>0</v>
          </cell>
          <cell r="L763">
            <v>0</v>
          </cell>
          <cell r="M763">
            <v>0</v>
          </cell>
          <cell r="O763" t="str">
            <v>*</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row>
        <row r="764">
          <cell r="B764" t="str">
            <v>中高层洋房</v>
          </cell>
          <cell r="C764" t="str">
            <v>装修建筑面积</v>
          </cell>
          <cell r="D764" t="str">
            <v>m2</v>
          </cell>
          <cell r="E764">
            <v>0</v>
          </cell>
          <cell r="F764">
            <v>0</v>
          </cell>
          <cell r="G764">
            <v>0</v>
          </cell>
          <cell r="H764">
            <v>0</v>
          </cell>
          <cell r="I764">
            <v>0.10999999999999999</v>
          </cell>
          <cell r="J764">
            <v>0</v>
          </cell>
          <cell r="K764">
            <v>0</v>
          </cell>
          <cell r="L764">
            <v>0</v>
          </cell>
          <cell r="M764">
            <v>0</v>
          </cell>
          <cell r="O764" t="str">
            <v>*</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row>
        <row r="765">
          <cell r="B765" t="str">
            <v>115高层洋房</v>
          </cell>
          <cell r="C765" t="str">
            <v>装修建筑面积</v>
          </cell>
          <cell r="D765" t="str">
            <v>m2</v>
          </cell>
          <cell r="E765">
            <v>0</v>
          </cell>
          <cell r="F765">
            <v>0</v>
          </cell>
          <cell r="G765">
            <v>0</v>
          </cell>
          <cell r="H765">
            <v>0</v>
          </cell>
          <cell r="I765">
            <v>0.10999999999999999</v>
          </cell>
          <cell r="J765">
            <v>0</v>
          </cell>
          <cell r="K765">
            <v>0</v>
          </cell>
          <cell r="L765">
            <v>0</v>
          </cell>
          <cell r="M765">
            <v>0</v>
          </cell>
          <cell r="N765" t="str">
            <v>测算面积系数按0.804，单价按照178元/m2考虑</v>
          </cell>
          <cell r="O765" t="str">
            <v>*</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row>
        <row r="766">
          <cell r="B766" t="str">
            <v>超高层洋房</v>
          </cell>
          <cell r="C766" t="str">
            <v>装修建筑面积</v>
          </cell>
          <cell r="D766" t="str">
            <v>m2</v>
          </cell>
          <cell r="E766">
            <v>0</v>
          </cell>
          <cell r="F766">
            <v>0</v>
          </cell>
          <cell r="G766">
            <v>0</v>
          </cell>
          <cell r="H766">
            <v>0</v>
          </cell>
          <cell r="I766">
            <v>0.10999999999999999</v>
          </cell>
          <cell r="J766">
            <v>0</v>
          </cell>
          <cell r="K766">
            <v>0</v>
          </cell>
          <cell r="L766">
            <v>0</v>
          </cell>
          <cell r="M766">
            <v>0</v>
          </cell>
          <cell r="O766" t="str">
            <v>*</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row>
        <row r="767">
          <cell r="B767" t="str">
            <v>公寓</v>
          </cell>
          <cell r="C767" t="str">
            <v>装修建筑面积</v>
          </cell>
          <cell r="D767" t="str">
            <v>m2</v>
          </cell>
          <cell r="E767">
            <v>0</v>
          </cell>
          <cell r="F767">
            <v>0</v>
          </cell>
          <cell r="G767">
            <v>0</v>
          </cell>
          <cell r="H767">
            <v>0</v>
          </cell>
          <cell r="I767">
            <v>0.10999999999999999</v>
          </cell>
          <cell r="J767">
            <v>0</v>
          </cell>
          <cell r="K767">
            <v>0</v>
          </cell>
          <cell r="L767">
            <v>0</v>
          </cell>
          <cell r="M767">
            <v>0</v>
          </cell>
          <cell r="O767" t="str">
            <v>*</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row>
        <row r="768">
          <cell r="B768" t="str">
            <v>底商</v>
          </cell>
          <cell r="C768" t="str">
            <v>装修建筑面积</v>
          </cell>
          <cell r="D768" t="str">
            <v>m2</v>
          </cell>
          <cell r="E768">
            <v>0</v>
          </cell>
          <cell r="F768">
            <v>0</v>
          </cell>
          <cell r="G768">
            <v>0</v>
          </cell>
          <cell r="H768">
            <v>0</v>
          </cell>
          <cell r="I768">
            <v>0.10999999999999999</v>
          </cell>
          <cell r="J768">
            <v>0</v>
          </cell>
          <cell r="K768">
            <v>0</v>
          </cell>
          <cell r="L768">
            <v>0</v>
          </cell>
          <cell r="M768">
            <v>0</v>
          </cell>
          <cell r="O768" t="str">
            <v>*</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row>
        <row r="769">
          <cell r="B769" t="str">
            <v>商业街</v>
          </cell>
          <cell r="C769" t="str">
            <v>装修建筑面积</v>
          </cell>
          <cell r="D769" t="str">
            <v>m2</v>
          </cell>
          <cell r="E769">
            <v>0</v>
          </cell>
          <cell r="F769">
            <v>0</v>
          </cell>
          <cell r="G769">
            <v>0</v>
          </cell>
          <cell r="H769">
            <v>0</v>
          </cell>
          <cell r="I769">
            <v>0.10999999999999999</v>
          </cell>
          <cell r="J769">
            <v>0</v>
          </cell>
          <cell r="K769">
            <v>0</v>
          </cell>
          <cell r="L769">
            <v>0</v>
          </cell>
          <cell r="M769">
            <v>0</v>
          </cell>
          <cell r="O769" t="str">
            <v>*</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row>
        <row r="770">
          <cell r="B770" t="str">
            <v>综合楼</v>
          </cell>
          <cell r="C770" t="str">
            <v>装修建筑面积</v>
          </cell>
          <cell r="D770" t="str">
            <v>m2</v>
          </cell>
          <cell r="E770">
            <v>0</v>
          </cell>
          <cell r="F770">
            <v>0</v>
          </cell>
          <cell r="G770">
            <v>0</v>
          </cell>
          <cell r="H770">
            <v>0</v>
          </cell>
          <cell r="I770">
            <v>0.10999999999999999</v>
          </cell>
          <cell r="J770">
            <v>0</v>
          </cell>
          <cell r="K770">
            <v>0</v>
          </cell>
          <cell r="L770">
            <v>0</v>
          </cell>
          <cell r="M770">
            <v>0</v>
          </cell>
          <cell r="O770" t="str">
            <v>*</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row>
        <row r="771">
          <cell r="B771" t="str">
            <v>写字楼</v>
          </cell>
          <cell r="C771" t="str">
            <v>装修建筑面积</v>
          </cell>
          <cell r="D771" t="str">
            <v>m2</v>
          </cell>
          <cell r="E771">
            <v>0</v>
          </cell>
          <cell r="F771">
            <v>0</v>
          </cell>
          <cell r="G771">
            <v>0</v>
          </cell>
          <cell r="H771">
            <v>0</v>
          </cell>
          <cell r="I771">
            <v>0.10999999999999999</v>
          </cell>
          <cell r="J771">
            <v>0</v>
          </cell>
          <cell r="K771">
            <v>0</v>
          </cell>
          <cell r="L771">
            <v>0</v>
          </cell>
          <cell r="M771">
            <v>0</v>
          </cell>
          <cell r="O771" t="str">
            <v>*</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row>
        <row r="772">
          <cell r="B772" t="str">
            <v>酒店</v>
          </cell>
          <cell r="C772" t="str">
            <v>装修建筑面积</v>
          </cell>
          <cell r="D772" t="str">
            <v>m2</v>
          </cell>
          <cell r="E772">
            <v>0</v>
          </cell>
          <cell r="F772">
            <v>0</v>
          </cell>
          <cell r="G772">
            <v>0</v>
          </cell>
          <cell r="H772">
            <v>0</v>
          </cell>
          <cell r="I772">
            <v>0.10999999999999999</v>
          </cell>
          <cell r="J772">
            <v>0</v>
          </cell>
          <cell r="K772">
            <v>0</v>
          </cell>
          <cell r="L772">
            <v>0</v>
          </cell>
          <cell r="M772">
            <v>0</v>
          </cell>
          <cell r="O772" t="str">
            <v>*</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row>
        <row r="773">
          <cell r="B773" t="str">
            <v>医院（自持）</v>
          </cell>
          <cell r="C773" t="str">
            <v>装修建筑面积</v>
          </cell>
          <cell r="D773" t="str">
            <v>m2</v>
          </cell>
          <cell r="E773">
            <v>0</v>
          </cell>
          <cell r="F773">
            <v>0</v>
          </cell>
          <cell r="G773">
            <v>0</v>
          </cell>
          <cell r="H773">
            <v>0</v>
          </cell>
          <cell r="I773">
            <v>0.10999999999999999</v>
          </cell>
          <cell r="J773">
            <v>0</v>
          </cell>
          <cell r="K773">
            <v>0</v>
          </cell>
          <cell r="L773">
            <v>0</v>
          </cell>
          <cell r="M773">
            <v>0</v>
          </cell>
          <cell r="O773" t="str">
            <v>*</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row>
        <row r="774">
          <cell r="B774" t="str">
            <v>地上计容车库</v>
          </cell>
          <cell r="C774" t="str">
            <v>装修建筑面积</v>
          </cell>
          <cell r="D774" t="str">
            <v>m2</v>
          </cell>
          <cell r="E774">
            <v>0</v>
          </cell>
          <cell r="F774">
            <v>0</v>
          </cell>
          <cell r="G774">
            <v>0</v>
          </cell>
          <cell r="H774">
            <v>0</v>
          </cell>
          <cell r="I774">
            <v>0.10999999999999999</v>
          </cell>
          <cell r="J774">
            <v>0</v>
          </cell>
          <cell r="K774">
            <v>0</v>
          </cell>
          <cell r="L774">
            <v>0</v>
          </cell>
          <cell r="M774">
            <v>0</v>
          </cell>
          <cell r="O774" t="str">
            <v>*</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row>
        <row r="775">
          <cell r="B775" t="str">
            <v>非人防地下室</v>
          </cell>
          <cell r="C775" t="str">
            <v>装修建筑面积</v>
          </cell>
          <cell r="D775" t="str">
            <v>m2</v>
          </cell>
          <cell r="E775">
            <v>0</v>
          </cell>
          <cell r="F775">
            <v>0</v>
          </cell>
          <cell r="G775">
            <v>0</v>
          </cell>
          <cell r="H775">
            <v>0</v>
          </cell>
          <cell r="I775">
            <v>0.10999999999999999</v>
          </cell>
          <cell r="J775">
            <v>0</v>
          </cell>
          <cell r="K775">
            <v>0</v>
          </cell>
          <cell r="L775">
            <v>0</v>
          </cell>
          <cell r="M775">
            <v>0</v>
          </cell>
          <cell r="O775" t="str">
            <v>*</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row>
        <row r="776">
          <cell r="B776" t="str">
            <v>人防地下室</v>
          </cell>
          <cell r="C776" t="str">
            <v>装修建筑面积</v>
          </cell>
          <cell r="D776" t="str">
            <v>m2</v>
          </cell>
          <cell r="E776">
            <v>0</v>
          </cell>
          <cell r="F776">
            <v>0</v>
          </cell>
          <cell r="G776">
            <v>0</v>
          </cell>
          <cell r="H776">
            <v>0</v>
          </cell>
          <cell r="I776">
            <v>0.10999999999999999</v>
          </cell>
          <cell r="J776">
            <v>0</v>
          </cell>
          <cell r="K776">
            <v>0</v>
          </cell>
          <cell r="L776">
            <v>0</v>
          </cell>
          <cell r="M776">
            <v>0</v>
          </cell>
          <cell r="O776" t="str">
            <v>*</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row>
        <row r="777">
          <cell r="B777" t="str">
            <v>独立会所（综合楼）</v>
          </cell>
          <cell r="C777" t="str">
            <v>装修建筑面积</v>
          </cell>
          <cell r="D777" t="str">
            <v>m2</v>
          </cell>
          <cell r="E777">
            <v>0</v>
          </cell>
          <cell r="F777">
            <v>0</v>
          </cell>
          <cell r="G777">
            <v>0</v>
          </cell>
          <cell r="H777">
            <v>0</v>
          </cell>
          <cell r="I777">
            <v>0.10999999999999999</v>
          </cell>
          <cell r="J777">
            <v>0</v>
          </cell>
          <cell r="K777">
            <v>0</v>
          </cell>
          <cell r="L777">
            <v>0</v>
          </cell>
          <cell r="M777">
            <v>0</v>
          </cell>
          <cell r="O777" t="str">
            <v>*</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row>
        <row r="778">
          <cell r="B778" t="str">
            <v>活动中心</v>
          </cell>
          <cell r="C778" t="str">
            <v>装修建筑面积</v>
          </cell>
          <cell r="D778" t="str">
            <v>m2</v>
          </cell>
          <cell r="E778">
            <v>0</v>
          </cell>
          <cell r="F778">
            <v>0</v>
          </cell>
          <cell r="G778">
            <v>0</v>
          </cell>
          <cell r="H778">
            <v>0</v>
          </cell>
          <cell r="I778">
            <v>0.10999999999999999</v>
          </cell>
          <cell r="J778">
            <v>0</v>
          </cell>
          <cell r="K778">
            <v>0</v>
          </cell>
          <cell r="L778">
            <v>0</v>
          </cell>
          <cell r="M778">
            <v>0</v>
          </cell>
          <cell r="O778" t="str">
            <v>*</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row>
        <row r="779">
          <cell r="B779" t="str">
            <v>商贸市场</v>
          </cell>
          <cell r="C779" t="str">
            <v>装修建筑面积</v>
          </cell>
          <cell r="D779" t="str">
            <v>m2</v>
          </cell>
          <cell r="E779">
            <v>0</v>
          </cell>
          <cell r="F779">
            <v>0</v>
          </cell>
          <cell r="G779">
            <v>0</v>
          </cell>
          <cell r="H779">
            <v>0</v>
          </cell>
          <cell r="I779">
            <v>0.10999999999999999</v>
          </cell>
          <cell r="J779">
            <v>0</v>
          </cell>
          <cell r="K779">
            <v>0</v>
          </cell>
          <cell r="L779">
            <v>0</v>
          </cell>
          <cell r="M779">
            <v>0</v>
          </cell>
          <cell r="O779" t="str">
            <v>*</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row>
        <row r="780">
          <cell r="B780" t="str">
            <v>医院</v>
          </cell>
          <cell r="C780" t="str">
            <v>装修建筑面积</v>
          </cell>
          <cell r="D780" t="str">
            <v>m2</v>
          </cell>
          <cell r="E780">
            <v>0</v>
          </cell>
          <cell r="F780">
            <v>0</v>
          </cell>
          <cell r="G780">
            <v>0</v>
          </cell>
          <cell r="H780">
            <v>0</v>
          </cell>
          <cell r="I780">
            <v>0.10999999999999999</v>
          </cell>
          <cell r="J780">
            <v>0</v>
          </cell>
          <cell r="K780">
            <v>0</v>
          </cell>
          <cell r="L780">
            <v>0</v>
          </cell>
          <cell r="M780">
            <v>0</v>
          </cell>
          <cell r="O780" t="str">
            <v>*</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row>
        <row r="781">
          <cell r="B781" t="str">
            <v>幼儿园</v>
          </cell>
          <cell r="C781" t="str">
            <v>装修建筑面积</v>
          </cell>
          <cell r="D781" t="str">
            <v>m2</v>
          </cell>
          <cell r="E781">
            <v>0</v>
          </cell>
          <cell r="F781">
            <v>0</v>
          </cell>
          <cell r="G781">
            <v>0</v>
          </cell>
          <cell r="H781">
            <v>0</v>
          </cell>
          <cell r="I781">
            <v>0.10999999999999999</v>
          </cell>
          <cell r="J781">
            <v>0</v>
          </cell>
          <cell r="K781">
            <v>0</v>
          </cell>
          <cell r="L781">
            <v>0</v>
          </cell>
          <cell r="M781">
            <v>0</v>
          </cell>
          <cell r="O781" t="str">
            <v>*</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row>
        <row r="782">
          <cell r="B782" t="str">
            <v>学校</v>
          </cell>
          <cell r="C782" t="str">
            <v>装修建筑面积</v>
          </cell>
          <cell r="D782" t="str">
            <v>m2</v>
          </cell>
          <cell r="E782">
            <v>0</v>
          </cell>
          <cell r="F782">
            <v>0</v>
          </cell>
          <cell r="G782">
            <v>0</v>
          </cell>
          <cell r="H782">
            <v>0</v>
          </cell>
          <cell r="I782">
            <v>0.10999999999999999</v>
          </cell>
          <cell r="J782">
            <v>0</v>
          </cell>
          <cell r="K782">
            <v>0</v>
          </cell>
          <cell r="L782">
            <v>0</v>
          </cell>
          <cell r="M782">
            <v>0</v>
          </cell>
          <cell r="O782" t="str">
            <v>*</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row>
        <row r="783">
          <cell r="B783" t="str">
            <v>员工宿舍</v>
          </cell>
          <cell r="C783" t="str">
            <v>装修建筑面积</v>
          </cell>
          <cell r="D783" t="str">
            <v>m2</v>
          </cell>
          <cell r="E783">
            <v>0</v>
          </cell>
          <cell r="F783">
            <v>0</v>
          </cell>
          <cell r="G783">
            <v>0</v>
          </cell>
          <cell r="H783">
            <v>0</v>
          </cell>
          <cell r="I783">
            <v>0.10999999999999999</v>
          </cell>
          <cell r="J783">
            <v>0</v>
          </cell>
          <cell r="K783">
            <v>0</v>
          </cell>
          <cell r="L783">
            <v>0</v>
          </cell>
          <cell r="M783">
            <v>0</v>
          </cell>
          <cell r="O783" t="str">
            <v>*</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row>
        <row r="784">
          <cell r="A784" t="str">
            <v>03.02.04</v>
          </cell>
          <cell r="B784" t="str">
            <v>精装交楼其他配置</v>
          </cell>
          <cell r="C784" t="str">
            <v>装修建筑面积</v>
          </cell>
          <cell r="D784" t="str">
            <v>m2</v>
          </cell>
          <cell r="E784">
            <v>131685.07559999998</v>
          </cell>
          <cell r="F784">
            <v>73.167665344302691</v>
          </cell>
          <cell r="G784">
            <v>9635089.5423399992</v>
          </cell>
          <cell r="H784">
            <v>0</v>
          </cell>
          <cell r="I784">
            <v>0.10999999999999965</v>
          </cell>
          <cell r="J784">
            <v>65.916815625497946</v>
          </cell>
          <cell r="K784">
            <v>7.2508497188047443</v>
          </cell>
          <cell r="L784">
            <v>8680260.848954957</v>
          </cell>
          <cell r="M784">
            <v>954828.69338504225</v>
          </cell>
          <cell r="P784">
            <v>0</v>
          </cell>
          <cell r="Q784">
            <v>1802027.0270270274</v>
          </cell>
          <cell r="R784">
            <v>157972.97297297299</v>
          </cell>
          <cell r="S784">
            <v>5447550.2670630636</v>
          </cell>
          <cell r="T784">
            <v>1272710.581891892</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8680260.848954957</v>
          </cell>
          <cell r="AS784">
            <v>0</v>
          </cell>
        </row>
        <row r="785">
          <cell r="B785">
            <v>100</v>
          </cell>
          <cell r="C785" t="str">
            <v>装修建筑面积</v>
          </cell>
          <cell r="D785" t="str">
            <v>m2</v>
          </cell>
          <cell r="E785">
            <v>0</v>
          </cell>
          <cell r="F785">
            <v>0</v>
          </cell>
          <cell r="G785">
            <v>0</v>
          </cell>
          <cell r="H785">
            <v>0</v>
          </cell>
          <cell r="I785">
            <v>0.10999999999999999</v>
          </cell>
          <cell r="J785">
            <v>0</v>
          </cell>
          <cell r="K785">
            <v>0</v>
          </cell>
          <cell r="L785">
            <v>0</v>
          </cell>
          <cell r="M785">
            <v>0</v>
          </cell>
          <cell r="N785" t="str">
            <v>包含浴室柜、浴室镜、沐浴屏风、抽油烟机，综合单价90元/m2</v>
          </cell>
          <cell r="O785" t="str">
            <v>*</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row>
        <row r="786">
          <cell r="B786">
            <v>125</v>
          </cell>
          <cell r="C786" t="str">
            <v>装修建筑面积</v>
          </cell>
          <cell r="D786" t="str">
            <v>m2</v>
          </cell>
          <cell r="E786">
            <v>26670</v>
          </cell>
          <cell r="F786">
            <v>75</v>
          </cell>
          <cell r="G786">
            <v>2000250</v>
          </cell>
          <cell r="H786">
            <v>0</v>
          </cell>
          <cell r="I786">
            <v>0.10999999999999999</v>
          </cell>
          <cell r="J786">
            <v>67.567567567567579</v>
          </cell>
          <cell r="K786">
            <v>7.4324324324324209</v>
          </cell>
          <cell r="L786">
            <v>1802027.0270270274</v>
          </cell>
          <cell r="M786">
            <v>198222.97297297255</v>
          </cell>
          <cell r="O786" t="str">
            <v>*</v>
          </cell>
          <cell r="P786">
            <v>0</v>
          </cell>
          <cell r="Q786">
            <v>1802027.0270270274</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1802027.0270270274</v>
          </cell>
          <cell r="AS786">
            <v>0</v>
          </cell>
        </row>
        <row r="787">
          <cell r="B787">
            <v>150</v>
          </cell>
          <cell r="C787" t="str">
            <v>装修建筑面积</v>
          </cell>
          <cell r="D787" t="str">
            <v>m2</v>
          </cell>
          <cell r="E787">
            <v>2338</v>
          </cell>
          <cell r="F787">
            <v>75</v>
          </cell>
          <cell r="G787">
            <v>175350</v>
          </cell>
          <cell r="H787">
            <v>0</v>
          </cell>
          <cell r="I787">
            <v>0.10999999999999999</v>
          </cell>
          <cell r="J787">
            <v>67.567567567567579</v>
          </cell>
          <cell r="K787">
            <v>7.4324324324324209</v>
          </cell>
          <cell r="L787">
            <v>157972.97297297299</v>
          </cell>
          <cell r="M787">
            <v>17377.027027027012</v>
          </cell>
          <cell r="N787" t="str">
            <v>包含浴室柜、浴室镜、沐浴屏风、抽油烟机，综合单价90元/m2</v>
          </cell>
          <cell r="O787" t="str">
            <v>*</v>
          </cell>
          <cell r="P787">
            <v>0</v>
          </cell>
          <cell r="Q787">
            <v>0</v>
          </cell>
          <cell r="R787">
            <v>157972.97297297299</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157972.97297297299</v>
          </cell>
          <cell r="AS787">
            <v>0</v>
          </cell>
        </row>
        <row r="788">
          <cell r="B788" t="str">
            <v>1T4(30F)</v>
          </cell>
          <cell r="C788" t="str">
            <v>装修建筑面积</v>
          </cell>
          <cell r="D788" t="str">
            <v>m2</v>
          </cell>
          <cell r="E788">
            <v>83231.669599999994</v>
          </cell>
          <cell r="F788">
            <v>72.650000000000006</v>
          </cell>
          <cell r="G788">
            <v>6046780.7964399997</v>
          </cell>
          <cell r="H788">
            <v>0</v>
          </cell>
          <cell r="I788">
            <v>0.10999999999999999</v>
          </cell>
          <cell r="J788">
            <v>65.450450450450461</v>
          </cell>
          <cell r="K788">
            <v>7.1995495495495447</v>
          </cell>
          <cell r="L788">
            <v>5447550.2670630636</v>
          </cell>
          <cell r="M788">
            <v>599230.52937693615</v>
          </cell>
          <cell r="O788" t="str">
            <v>*</v>
          </cell>
          <cell r="P788">
            <v>0</v>
          </cell>
          <cell r="Q788">
            <v>0</v>
          </cell>
          <cell r="R788">
            <v>0</v>
          </cell>
          <cell r="S788">
            <v>5447550.2670630636</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5447550.2670630636</v>
          </cell>
          <cell r="AS788">
            <v>0</v>
          </cell>
        </row>
        <row r="789">
          <cell r="B789" t="str">
            <v>1T3(30F)</v>
          </cell>
          <cell r="C789" t="str">
            <v>装修建筑面积</v>
          </cell>
          <cell r="D789" t="str">
            <v>m2</v>
          </cell>
          <cell r="E789">
            <v>19445.405999999999</v>
          </cell>
          <cell r="F789">
            <v>72.650000000000006</v>
          </cell>
          <cell r="G789">
            <v>1412708.7459</v>
          </cell>
          <cell r="H789">
            <v>0</v>
          </cell>
          <cell r="I789">
            <v>0.10999999999999999</v>
          </cell>
          <cell r="J789">
            <v>65.450450450450461</v>
          </cell>
          <cell r="K789">
            <v>7.1995495495495447</v>
          </cell>
          <cell r="L789">
            <v>1272710.581891892</v>
          </cell>
          <cell r="M789">
            <v>139998.16400810797</v>
          </cell>
          <cell r="N789" t="str">
            <v>包含浴室柜、浴室镜、沐浴屏风、抽油烟机，综合单价90元/m2</v>
          </cell>
          <cell r="O789" t="str">
            <v>*</v>
          </cell>
          <cell r="P789">
            <v>0</v>
          </cell>
          <cell r="Q789">
            <v>0</v>
          </cell>
          <cell r="R789">
            <v>0</v>
          </cell>
          <cell r="S789">
            <v>0</v>
          </cell>
          <cell r="T789">
            <v>1272710.581891892</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1272710.581891892</v>
          </cell>
          <cell r="AS789">
            <v>0</v>
          </cell>
        </row>
        <row r="790">
          <cell r="B790" t="str">
            <v>LOFT(31F)</v>
          </cell>
          <cell r="C790" t="str">
            <v>装修建筑面积</v>
          </cell>
          <cell r="D790" t="str">
            <v>m2</v>
          </cell>
          <cell r="E790">
            <v>0</v>
          </cell>
          <cell r="F790">
            <v>0</v>
          </cell>
          <cell r="G790">
            <v>0</v>
          </cell>
          <cell r="H790">
            <v>0</v>
          </cell>
          <cell r="I790">
            <v>0.10999999999999999</v>
          </cell>
          <cell r="J790">
            <v>0</v>
          </cell>
          <cell r="K790">
            <v>0</v>
          </cell>
          <cell r="L790">
            <v>0</v>
          </cell>
          <cell r="M790">
            <v>0</v>
          </cell>
          <cell r="O790" t="str">
            <v>*</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row>
        <row r="791">
          <cell r="B791" t="str">
            <v>1T2(31F)</v>
          </cell>
          <cell r="C791" t="str">
            <v>装修建筑面积</v>
          </cell>
          <cell r="D791" t="str">
            <v>m2</v>
          </cell>
          <cell r="E791">
            <v>0</v>
          </cell>
          <cell r="F791">
            <v>0</v>
          </cell>
          <cell r="G791">
            <v>0</v>
          </cell>
          <cell r="H791">
            <v>0</v>
          </cell>
          <cell r="I791">
            <v>0.10999999999999999</v>
          </cell>
          <cell r="J791">
            <v>0</v>
          </cell>
          <cell r="K791">
            <v>0</v>
          </cell>
          <cell r="L791">
            <v>0</v>
          </cell>
          <cell r="M791">
            <v>0</v>
          </cell>
          <cell r="O791" t="str">
            <v>*</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row>
        <row r="792">
          <cell r="B792" t="str">
            <v>1T8(32F)</v>
          </cell>
          <cell r="C792" t="str">
            <v>装修建筑面积</v>
          </cell>
          <cell r="D792" t="str">
            <v>m2</v>
          </cell>
          <cell r="E792">
            <v>0</v>
          </cell>
          <cell r="F792">
            <v>0</v>
          </cell>
          <cell r="G792">
            <v>0</v>
          </cell>
          <cell r="H792">
            <v>0</v>
          </cell>
          <cell r="I792">
            <v>0.10999999999999999</v>
          </cell>
          <cell r="J792">
            <v>0</v>
          </cell>
          <cell r="K792">
            <v>0</v>
          </cell>
          <cell r="L792">
            <v>0</v>
          </cell>
          <cell r="M792">
            <v>0</v>
          </cell>
          <cell r="O792" t="str">
            <v>*</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row>
        <row r="793">
          <cell r="B793" t="str">
            <v>中高层洋房</v>
          </cell>
          <cell r="C793" t="str">
            <v>装修建筑面积</v>
          </cell>
          <cell r="D793" t="str">
            <v>m2</v>
          </cell>
          <cell r="E793">
            <v>0</v>
          </cell>
          <cell r="F793">
            <v>0</v>
          </cell>
          <cell r="G793">
            <v>0</v>
          </cell>
          <cell r="H793">
            <v>0</v>
          </cell>
          <cell r="I793">
            <v>0.10999999999999999</v>
          </cell>
          <cell r="J793">
            <v>0</v>
          </cell>
          <cell r="K793">
            <v>0</v>
          </cell>
          <cell r="L793">
            <v>0</v>
          </cell>
          <cell r="M793">
            <v>0</v>
          </cell>
          <cell r="O793" t="str">
            <v>*</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row>
        <row r="794">
          <cell r="B794" t="str">
            <v>115高层洋房</v>
          </cell>
          <cell r="C794" t="str">
            <v>装修建筑面积</v>
          </cell>
          <cell r="D794" t="str">
            <v>m2</v>
          </cell>
          <cell r="E794">
            <v>0</v>
          </cell>
          <cell r="F794">
            <v>0</v>
          </cell>
          <cell r="G794">
            <v>0</v>
          </cell>
          <cell r="H794">
            <v>0</v>
          </cell>
          <cell r="I794">
            <v>0.10999999999999999</v>
          </cell>
          <cell r="J794">
            <v>0</v>
          </cell>
          <cell r="K794">
            <v>0</v>
          </cell>
          <cell r="L794">
            <v>0</v>
          </cell>
          <cell r="M794">
            <v>0</v>
          </cell>
          <cell r="N794" t="str">
            <v>包含浴室柜、浴室镜、沐浴屏风、抽油烟机，综合单价45元/m2</v>
          </cell>
          <cell r="O794" t="str">
            <v>*</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row>
        <row r="795">
          <cell r="B795" t="str">
            <v>超高层洋房</v>
          </cell>
          <cell r="C795" t="str">
            <v>装修建筑面积</v>
          </cell>
          <cell r="D795" t="str">
            <v>m2</v>
          </cell>
          <cell r="E795">
            <v>0</v>
          </cell>
          <cell r="F795">
            <v>0</v>
          </cell>
          <cell r="G795">
            <v>0</v>
          </cell>
          <cell r="H795">
            <v>0</v>
          </cell>
          <cell r="I795">
            <v>0.10999999999999999</v>
          </cell>
          <cell r="J795">
            <v>0</v>
          </cell>
          <cell r="K795">
            <v>0</v>
          </cell>
          <cell r="L795">
            <v>0</v>
          </cell>
          <cell r="M795">
            <v>0</v>
          </cell>
          <cell r="O795" t="str">
            <v>*</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row>
        <row r="796">
          <cell r="B796" t="str">
            <v>公寓</v>
          </cell>
          <cell r="C796" t="str">
            <v>装修建筑面积</v>
          </cell>
          <cell r="D796" t="str">
            <v>m2</v>
          </cell>
          <cell r="E796">
            <v>0</v>
          </cell>
          <cell r="F796">
            <v>0</v>
          </cell>
          <cell r="G796">
            <v>0</v>
          </cell>
          <cell r="H796">
            <v>0</v>
          </cell>
          <cell r="I796">
            <v>0.10999999999999999</v>
          </cell>
          <cell r="J796">
            <v>0</v>
          </cell>
          <cell r="K796">
            <v>0</v>
          </cell>
          <cell r="L796">
            <v>0</v>
          </cell>
          <cell r="M796">
            <v>0</v>
          </cell>
          <cell r="O796" t="str">
            <v>*</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row>
        <row r="797">
          <cell r="B797" t="str">
            <v>底商</v>
          </cell>
          <cell r="C797" t="str">
            <v>装修建筑面积</v>
          </cell>
          <cell r="D797" t="str">
            <v>m2</v>
          </cell>
          <cell r="E797">
            <v>0</v>
          </cell>
          <cell r="F797">
            <v>0</v>
          </cell>
          <cell r="G797">
            <v>0</v>
          </cell>
          <cell r="H797">
            <v>0</v>
          </cell>
          <cell r="I797">
            <v>0.10999999999999999</v>
          </cell>
          <cell r="J797">
            <v>0</v>
          </cell>
          <cell r="K797">
            <v>0</v>
          </cell>
          <cell r="L797">
            <v>0</v>
          </cell>
          <cell r="M797">
            <v>0</v>
          </cell>
          <cell r="O797" t="str">
            <v>*</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row>
        <row r="798">
          <cell r="B798" t="str">
            <v>商业街</v>
          </cell>
          <cell r="C798" t="str">
            <v>装修建筑面积</v>
          </cell>
          <cell r="D798" t="str">
            <v>m2</v>
          </cell>
          <cell r="E798">
            <v>0</v>
          </cell>
          <cell r="F798">
            <v>0</v>
          </cell>
          <cell r="G798">
            <v>0</v>
          </cell>
          <cell r="H798">
            <v>0</v>
          </cell>
          <cell r="I798">
            <v>0.10999999999999999</v>
          </cell>
          <cell r="J798">
            <v>0</v>
          </cell>
          <cell r="K798">
            <v>0</v>
          </cell>
          <cell r="L798">
            <v>0</v>
          </cell>
          <cell r="M798">
            <v>0</v>
          </cell>
          <cell r="O798" t="str">
            <v>*</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row>
        <row r="799">
          <cell r="B799" t="str">
            <v>综合楼</v>
          </cell>
          <cell r="C799" t="str">
            <v>装修建筑面积</v>
          </cell>
          <cell r="D799" t="str">
            <v>m2</v>
          </cell>
          <cell r="E799">
            <v>0</v>
          </cell>
          <cell r="F799">
            <v>0</v>
          </cell>
          <cell r="G799">
            <v>0</v>
          </cell>
          <cell r="H799">
            <v>0</v>
          </cell>
          <cell r="I799">
            <v>0.10999999999999999</v>
          </cell>
          <cell r="J799">
            <v>0</v>
          </cell>
          <cell r="K799">
            <v>0</v>
          </cell>
          <cell r="L799">
            <v>0</v>
          </cell>
          <cell r="M799">
            <v>0</v>
          </cell>
          <cell r="O799" t="str">
            <v>*</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row>
        <row r="800">
          <cell r="B800" t="str">
            <v>写字楼</v>
          </cell>
          <cell r="C800" t="str">
            <v>装修建筑面积</v>
          </cell>
          <cell r="D800" t="str">
            <v>m2</v>
          </cell>
          <cell r="E800">
            <v>0</v>
          </cell>
          <cell r="F800">
            <v>0</v>
          </cell>
          <cell r="G800">
            <v>0</v>
          </cell>
          <cell r="H800">
            <v>0</v>
          </cell>
          <cell r="I800">
            <v>0.10999999999999999</v>
          </cell>
          <cell r="J800">
            <v>0</v>
          </cell>
          <cell r="K800">
            <v>0</v>
          </cell>
          <cell r="L800">
            <v>0</v>
          </cell>
          <cell r="M800">
            <v>0</v>
          </cell>
          <cell r="O800" t="str">
            <v>*</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row>
        <row r="801">
          <cell r="B801" t="str">
            <v>酒店</v>
          </cell>
          <cell r="C801" t="str">
            <v>装修建筑面积</v>
          </cell>
          <cell r="D801" t="str">
            <v>m2</v>
          </cell>
          <cell r="E801">
            <v>0</v>
          </cell>
          <cell r="F801">
            <v>0</v>
          </cell>
          <cell r="G801">
            <v>0</v>
          </cell>
          <cell r="H801">
            <v>0</v>
          </cell>
          <cell r="I801">
            <v>0.10999999999999999</v>
          </cell>
          <cell r="J801">
            <v>0</v>
          </cell>
          <cell r="K801">
            <v>0</v>
          </cell>
          <cell r="L801">
            <v>0</v>
          </cell>
          <cell r="M801">
            <v>0</v>
          </cell>
          <cell r="O801" t="str">
            <v>*</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row>
        <row r="802">
          <cell r="B802" t="str">
            <v>医院（自持）</v>
          </cell>
          <cell r="C802" t="str">
            <v>装修建筑面积</v>
          </cell>
          <cell r="D802" t="str">
            <v>m2</v>
          </cell>
          <cell r="E802">
            <v>0</v>
          </cell>
          <cell r="F802">
            <v>0</v>
          </cell>
          <cell r="G802">
            <v>0</v>
          </cell>
          <cell r="H802">
            <v>0</v>
          </cell>
          <cell r="I802">
            <v>0.10999999999999999</v>
          </cell>
          <cell r="J802">
            <v>0</v>
          </cell>
          <cell r="K802">
            <v>0</v>
          </cell>
          <cell r="L802">
            <v>0</v>
          </cell>
          <cell r="M802">
            <v>0</v>
          </cell>
          <cell r="O802" t="str">
            <v>*</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row>
        <row r="803">
          <cell r="B803" t="str">
            <v>地上计容车库</v>
          </cell>
          <cell r="C803" t="str">
            <v>装修建筑面积</v>
          </cell>
          <cell r="D803" t="str">
            <v>m2</v>
          </cell>
          <cell r="E803">
            <v>0</v>
          </cell>
          <cell r="F803">
            <v>0</v>
          </cell>
          <cell r="G803">
            <v>0</v>
          </cell>
          <cell r="H803">
            <v>0</v>
          </cell>
          <cell r="I803">
            <v>0.10999999999999999</v>
          </cell>
          <cell r="J803">
            <v>0</v>
          </cell>
          <cell r="K803">
            <v>0</v>
          </cell>
          <cell r="L803">
            <v>0</v>
          </cell>
          <cell r="M803">
            <v>0</v>
          </cell>
          <cell r="O803" t="str">
            <v>*</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row>
        <row r="804">
          <cell r="B804" t="str">
            <v>非人防地下室</v>
          </cell>
          <cell r="C804" t="str">
            <v>装修建筑面积</v>
          </cell>
          <cell r="D804" t="str">
            <v>m2</v>
          </cell>
          <cell r="E804">
            <v>0</v>
          </cell>
          <cell r="F804">
            <v>0</v>
          </cell>
          <cell r="G804">
            <v>0</v>
          </cell>
          <cell r="H804">
            <v>0</v>
          </cell>
          <cell r="I804">
            <v>0.10999999999999999</v>
          </cell>
          <cell r="J804">
            <v>0</v>
          </cell>
          <cell r="K804">
            <v>0</v>
          </cell>
          <cell r="L804">
            <v>0</v>
          </cell>
          <cell r="M804">
            <v>0</v>
          </cell>
          <cell r="O804" t="str">
            <v>*</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row>
        <row r="805">
          <cell r="B805" t="str">
            <v>人防地下室</v>
          </cell>
          <cell r="C805" t="str">
            <v>装修建筑面积</v>
          </cell>
          <cell r="D805" t="str">
            <v>m2</v>
          </cell>
          <cell r="E805">
            <v>0</v>
          </cell>
          <cell r="F805">
            <v>0</v>
          </cell>
          <cell r="G805">
            <v>0</v>
          </cell>
          <cell r="H805">
            <v>0</v>
          </cell>
          <cell r="I805">
            <v>0.10999999999999999</v>
          </cell>
          <cell r="J805">
            <v>0</v>
          </cell>
          <cell r="K805">
            <v>0</v>
          </cell>
          <cell r="L805">
            <v>0</v>
          </cell>
          <cell r="M805">
            <v>0</v>
          </cell>
          <cell r="O805" t="str">
            <v>*</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row>
        <row r="806">
          <cell r="B806" t="str">
            <v>独立会所（综合楼）</v>
          </cell>
          <cell r="C806" t="str">
            <v>装修建筑面积</v>
          </cell>
          <cell r="D806" t="str">
            <v>m2</v>
          </cell>
          <cell r="E806">
            <v>0</v>
          </cell>
          <cell r="F806">
            <v>0</v>
          </cell>
          <cell r="G806">
            <v>0</v>
          </cell>
          <cell r="H806">
            <v>0</v>
          </cell>
          <cell r="I806">
            <v>0.10999999999999999</v>
          </cell>
          <cell r="J806">
            <v>0</v>
          </cell>
          <cell r="K806">
            <v>0</v>
          </cell>
          <cell r="L806">
            <v>0</v>
          </cell>
          <cell r="M806">
            <v>0</v>
          </cell>
          <cell r="O806" t="str">
            <v>*</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row>
        <row r="807">
          <cell r="B807" t="str">
            <v>活动中心</v>
          </cell>
          <cell r="C807" t="str">
            <v>装修建筑面积</v>
          </cell>
          <cell r="D807" t="str">
            <v>m2</v>
          </cell>
          <cell r="E807">
            <v>0</v>
          </cell>
          <cell r="F807">
            <v>0</v>
          </cell>
          <cell r="G807">
            <v>0</v>
          </cell>
          <cell r="H807">
            <v>0</v>
          </cell>
          <cell r="I807">
            <v>0.10999999999999999</v>
          </cell>
          <cell r="J807">
            <v>0</v>
          </cell>
          <cell r="K807">
            <v>0</v>
          </cell>
          <cell r="L807">
            <v>0</v>
          </cell>
          <cell r="M807">
            <v>0</v>
          </cell>
          <cell r="O807" t="str">
            <v>*</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row>
        <row r="808">
          <cell r="B808" t="str">
            <v>商贸市场</v>
          </cell>
          <cell r="C808" t="str">
            <v>装修建筑面积</v>
          </cell>
          <cell r="D808" t="str">
            <v>m2</v>
          </cell>
          <cell r="E808">
            <v>0</v>
          </cell>
          <cell r="F808">
            <v>0</v>
          </cell>
          <cell r="G808">
            <v>0</v>
          </cell>
          <cell r="H808">
            <v>0</v>
          </cell>
          <cell r="I808">
            <v>0.10999999999999999</v>
          </cell>
          <cell r="J808">
            <v>0</v>
          </cell>
          <cell r="K808">
            <v>0</v>
          </cell>
          <cell r="L808">
            <v>0</v>
          </cell>
          <cell r="M808">
            <v>0</v>
          </cell>
          <cell r="O808" t="str">
            <v>*</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row>
        <row r="809">
          <cell r="B809" t="str">
            <v>医院</v>
          </cell>
          <cell r="C809" t="str">
            <v>装修建筑面积</v>
          </cell>
          <cell r="D809" t="str">
            <v>m2</v>
          </cell>
          <cell r="E809">
            <v>0</v>
          </cell>
          <cell r="F809">
            <v>0</v>
          </cell>
          <cell r="G809">
            <v>0</v>
          </cell>
          <cell r="H809">
            <v>0</v>
          </cell>
          <cell r="I809">
            <v>0.10999999999999999</v>
          </cell>
          <cell r="J809">
            <v>0</v>
          </cell>
          <cell r="K809">
            <v>0</v>
          </cell>
          <cell r="L809">
            <v>0</v>
          </cell>
          <cell r="M809">
            <v>0</v>
          </cell>
          <cell r="O809" t="str">
            <v>*</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row>
        <row r="810">
          <cell r="B810" t="str">
            <v>幼儿园</v>
          </cell>
          <cell r="C810" t="str">
            <v>装修建筑面积</v>
          </cell>
          <cell r="D810" t="str">
            <v>m2</v>
          </cell>
          <cell r="E810">
            <v>0</v>
          </cell>
          <cell r="F810">
            <v>0</v>
          </cell>
          <cell r="G810">
            <v>0</v>
          </cell>
          <cell r="H810">
            <v>0</v>
          </cell>
          <cell r="I810">
            <v>0.10999999999999999</v>
          </cell>
          <cell r="J810">
            <v>0</v>
          </cell>
          <cell r="K810">
            <v>0</v>
          </cell>
          <cell r="L810">
            <v>0</v>
          </cell>
          <cell r="M810">
            <v>0</v>
          </cell>
          <cell r="O810" t="str">
            <v>*</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row>
        <row r="811">
          <cell r="B811" t="str">
            <v>学校</v>
          </cell>
          <cell r="C811" t="str">
            <v>装修建筑面积</v>
          </cell>
          <cell r="D811" t="str">
            <v>m2</v>
          </cell>
          <cell r="E811">
            <v>0</v>
          </cell>
          <cell r="F811">
            <v>0</v>
          </cell>
          <cell r="G811">
            <v>0</v>
          </cell>
          <cell r="H811">
            <v>0</v>
          </cell>
          <cell r="I811">
            <v>0.10999999999999999</v>
          </cell>
          <cell r="J811">
            <v>0</v>
          </cell>
          <cell r="K811">
            <v>0</v>
          </cell>
          <cell r="L811">
            <v>0</v>
          </cell>
          <cell r="M811">
            <v>0</v>
          </cell>
          <cell r="O811" t="str">
            <v>*</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row>
        <row r="812">
          <cell r="B812" t="str">
            <v>员工宿舍</v>
          </cell>
          <cell r="C812" t="str">
            <v>装修建筑面积</v>
          </cell>
          <cell r="D812" t="str">
            <v>m2</v>
          </cell>
          <cell r="E812">
            <v>0</v>
          </cell>
          <cell r="F812">
            <v>0</v>
          </cell>
          <cell r="G812">
            <v>0</v>
          </cell>
          <cell r="H812">
            <v>0</v>
          </cell>
          <cell r="I812">
            <v>0.10999999999999999</v>
          </cell>
          <cell r="J812">
            <v>0</v>
          </cell>
          <cell r="K812">
            <v>0</v>
          </cell>
          <cell r="L812">
            <v>0</v>
          </cell>
          <cell r="M812">
            <v>0</v>
          </cell>
          <cell r="O812" t="str">
            <v>*</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row>
        <row r="813">
          <cell r="A813" t="str">
            <v>03.03</v>
          </cell>
          <cell r="B813" t="str">
            <v>主体安装工程</v>
          </cell>
          <cell r="C813" t="str">
            <v>建筑面积</v>
          </cell>
          <cell r="D813" t="str">
            <v>m2</v>
          </cell>
          <cell r="E813">
            <v>241586.90000000002</v>
          </cell>
          <cell r="F813">
            <v>223.71362445563068</v>
          </cell>
          <cell r="G813">
            <v>54046281.020000011</v>
          </cell>
          <cell r="I813">
            <v>0.11000000000000038</v>
          </cell>
          <cell r="J813">
            <v>201.54380581588345</v>
          </cell>
          <cell r="K813">
            <v>22.169818639747234</v>
          </cell>
          <cell r="L813">
            <v>48690343.261261255</v>
          </cell>
          <cell r="M813">
            <v>5355937.7587387562</v>
          </cell>
          <cell r="P813">
            <v>0</v>
          </cell>
          <cell r="Q813">
            <v>3139803.6881765327</v>
          </cell>
          <cell r="R813">
            <v>264120.97594158753</v>
          </cell>
          <cell r="S813">
            <v>16526822.903732905</v>
          </cell>
          <cell r="T813">
            <v>4427225.4194220509</v>
          </cell>
          <cell r="U813">
            <v>0</v>
          </cell>
          <cell r="V813">
            <v>0</v>
          </cell>
          <cell r="W813">
            <v>0</v>
          </cell>
          <cell r="X813">
            <v>0</v>
          </cell>
          <cell r="Y813">
            <v>0</v>
          </cell>
          <cell r="Z813">
            <v>0</v>
          </cell>
          <cell r="AA813">
            <v>0</v>
          </cell>
          <cell r="AB813">
            <v>256978.15434394695</v>
          </cell>
          <cell r="AC813">
            <v>0</v>
          </cell>
          <cell r="AD813">
            <v>0</v>
          </cell>
          <cell r="AE813">
            <v>0</v>
          </cell>
          <cell r="AF813">
            <v>0</v>
          </cell>
          <cell r="AG813">
            <v>21470297.496930394</v>
          </cell>
          <cell r="AH813">
            <v>2605094.622713848</v>
          </cell>
          <cell r="AI813">
            <v>0</v>
          </cell>
          <cell r="AJ813">
            <v>0</v>
          </cell>
          <cell r="AK813">
            <v>0</v>
          </cell>
          <cell r="AL813">
            <v>0</v>
          </cell>
          <cell r="AM813">
            <v>0</v>
          </cell>
          <cell r="AN813">
            <v>0</v>
          </cell>
          <cell r="AO813">
            <v>0</v>
          </cell>
          <cell r="AP813">
            <v>0</v>
          </cell>
          <cell r="AQ813">
            <v>0</v>
          </cell>
          <cell r="AR813">
            <v>48690343.261261269</v>
          </cell>
          <cell r="AS813">
            <v>0</v>
          </cell>
        </row>
        <row r="814">
          <cell r="A814" t="str">
            <v>03.03.01</v>
          </cell>
          <cell r="B814" t="str">
            <v>主体水暖电消防空调</v>
          </cell>
          <cell r="C814" t="str">
            <v>建筑面积</v>
          </cell>
          <cell r="D814" t="str">
            <v>m2</v>
          </cell>
          <cell r="E814">
            <v>241586.90000000002</v>
          </cell>
          <cell r="F814">
            <v>172.28772346513824</v>
          </cell>
          <cell r="G814">
            <v>41622457.020000011</v>
          </cell>
          <cell r="I814">
            <v>0.11000000000000032</v>
          </cell>
          <cell r="J814">
            <v>155.21416528390827</v>
          </cell>
          <cell r="K814">
            <v>17.07355818122997</v>
          </cell>
          <cell r="L814">
            <v>37497709.027027026</v>
          </cell>
          <cell r="M814">
            <v>4124747.9929729849</v>
          </cell>
          <cell r="P814">
            <v>0</v>
          </cell>
          <cell r="Q814">
            <v>2450756.7567567569</v>
          </cell>
          <cell r="R814">
            <v>214843.24324324325</v>
          </cell>
          <cell r="S814">
            <v>8492105.6576576568</v>
          </cell>
          <cell r="T814">
            <v>2537890.2342342343</v>
          </cell>
          <cell r="U814">
            <v>0</v>
          </cell>
          <cell r="V814">
            <v>0</v>
          </cell>
          <cell r="W814">
            <v>0</v>
          </cell>
          <cell r="X814">
            <v>0</v>
          </cell>
          <cell r="Y814">
            <v>0</v>
          </cell>
          <cell r="Z814">
            <v>0</v>
          </cell>
          <cell r="AA814">
            <v>0</v>
          </cell>
          <cell r="AB814">
            <v>245045.04504504506</v>
          </cell>
          <cell r="AC814">
            <v>0</v>
          </cell>
          <cell r="AD814">
            <v>0</v>
          </cell>
          <cell r="AE814">
            <v>0</v>
          </cell>
          <cell r="AF814">
            <v>0</v>
          </cell>
          <cell r="AG814">
            <v>21008059.081081085</v>
          </cell>
          <cell r="AH814">
            <v>2549009.0090090092</v>
          </cell>
          <cell r="AI814">
            <v>0</v>
          </cell>
          <cell r="AJ814">
            <v>0</v>
          </cell>
          <cell r="AK814">
            <v>0</v>
          </cell>
          <cell r="AL814">
            <v>0</v>
          </cell>
          <cell r="AM814">
            <v>0</v>
          </cell>
          <cell r="AN814">
            <v>0</v>
          </cell>
          <cell r="AO814">
            <v>0</v>
          </cell>
          <cell r="AP814">
            <v>0</v>
          </cell>
          <cell r="AQ814">
            <v>0</v>
          </cell>
          <cell r="AR814">
            <v>37497709.027027033</v>
          </cell>
          <cell r="AS814">
            <v>0</v>
          </cell>
        </row>
        <row r="815">
          <cell r="A815" t="str">
            <v>03.03.01.01</v>
          </cell>
          <cell r="B815" t="str">
            <v>给排水工程</v>
          </cell>
          <cell r="C815" t="str">
            <v>建筑面积</v>
          </cell>
          <cell r="D815" t="str">
            <v>m2</v>
          </cell>
          <cell r="E815">
            <v>241586.90000000002</v>
          </cell>
          <cell r="F815">
            <v>33.238809306299302</v>
          </cell>
          <cell r="G815">
            <v>8030060.9000000004</v>
          </cell>
          <cell r="I815">
            <v>0.10999999999999997</v>
          </cell>
          <cell r="J815">
            <v>29.944873248918295</v>
          </cell>
          <cell r="K815">
            <v>3.293936057381007</v>
          </cell>
          <cell r="L815">
            <v>7234289.0990990996</v>
          </cell>
          <cell r="M815">
            <v>795771.80090090074</v>
          </cell>
          <cell r="P815">
            <v>0</v>
          </cell>
          <cell r="Q815">
            <v>1009135.1351351351</v>
          </cell>
          <cell r="R815">
            <v>88464.864864864867</v>
          </cell>
          <cell r="S815">
            <v>2710246.4864864866</v>
          </cell>
          <cell r="T815">
            <v>633194.59459459467</v>
          </cell>
          <cell r="U815">
            <v>0</v>
          </cell>
          <cell r="V815">
            <v>0</v>
          </cell>
          <cell r="W815">
            <v>0</v>
          </cell>
          <cell r="X815">
            <v>0</v>
          </cell>
          <cell r="Y815">
            <v>0</v>
          </cell>
          <cell r="Z815">
            <v>0</v>
          </cell>
          <cell r="AA815">
            <v>0</v>
          </cell>
          <cell r="AB815">
            <v>54054.054054054061</v>
          </cell>
          <cell r="AC815">
            <v>0</v>
          </cell>
          <cell r="AD815">
            <v>0</v>
          </cell>
          <cell r="AE815">
            <v>0</v>
          </cell>
          <cell r="AF815">
            <v>0</v>
          </cell>
          <cell r="AG815">
            <v>2442797.5675675678</v>
          </cell>
          <cell r="AH815">
            <v>296396.39639639645</v>
          </cell>
          <cell r="AI815">
            <v>0</v>
          </cell>
          <cell r="AJ815">
            <v>0</v>
          </cell>
          <cell r="AK815">
            <v>0</v>
          </cell>
          <cell r="AL815">
            <v>0</v>
          </cell>
          <cell r="AM815">
            <v>0</v>
          </cell>
          <cell r="AN815">
            <v>0</v>
          </cell>
          <cell r="AO815">
            <v>0</v>
          </cell>
          <cell r="AP815">
            <v>0</v>
          </cell>
          <cell r="AQ815">
            <v>0</v>
          </cell>
          <cell r="AR815">
            <v>7234289.0990990996</v>
          </cell>
          <cell r="AS815">
            <v>0</v>
          </cell>
        </row>
        <row r="816">
          <cell r="B816">
            <v>100</v>
          </cell>
          <cell r="C816" t="str">
            <v>建筑面积</v>
          </cell>
          <cell r="D816" t="str">
            <v>m2</v>
          </cell>
          <cell r="E816">
            <v>0</v>
          </cell>
          <cell r="F816">
            <v>0</v>
          </cell>
          <cell r="G816">
            <v>0</v>
          </cell>
          <cell r="H816">
            <v>0</v>
          </cell>
          <cell r="I816">
            <v>0.10999999999999999</v>
          </cell>
          <cell r="J816">
            <v>0</v>
          </cell>
          <cell r="K816">
            <v>0</v>
          </cell>
          <cell r="L816">
            <v>0</v>
          </cell>
          <cell r="M816">
            <v>0</v>
          </cell>
          <cell r="N816" t="str">
            <v>参考丽山花园B009户型集团审核价50元/m2,综合考虑已定结算上浮20%考虑约60元/m2,按比例拆分给排水约40元/m2.</v>
          </cell>
          <cell r="O816" t="str">
            <v>*</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row>
        <row r="817">
          <cell r="B817">
            <v>125</v>
          </cell>
          <cell r="C817" t="str">
            <v>建筑面积</v>
          </cell>
          <cell r="D817" t="str">
            <v>m2</v>
          </cell>
          <cell r="E817">
            <v>26670</v>
          </cell>
          <cell r="F817">
            <v>42</v>
          </cell>
          <cell r="G817">
            <v>1120140</v>
          </cell>
          <cell r="H817">
            <v>0</v>
          </cell>
          <cell r="I817">
            <v>0.10999999999999999</v>
          </cell>
          <cell r="J817">
            <v>37.837837837837839</v>
          </cell>
          <cell r="K817">
            <v>4.1621621621621614</v>
          </cell>
          <cell r="L817">
            <v>1009135.1351351351</v>
          </cell>
          <cell r="M817">
            <v>111004.86486486485</v>
          </cell>
          <cell r="O817" t="str">
            <v>*</v>
          </cell>
          <cell r="P817">
            <v>0</v>
          </cell>
          <cell r="Q817">
            <v>1009135.1351351351</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1009135.1351351351</v>
          </cell>
          <cell r="AS817">
            <v>0</v>
          </cell>
        </row>
        <row r="818">
          <cell r="B818">
            <v>150</v>
          </cell>
          <cell r="C818" t="str">
            <v>建筑面积</v>
          </cell>
          <cell r="D818" t="str">
            <v>m2</v>
          </cell>
          <cell r="E818">
            <v>2338</v>
          </cell>
          <cell r="F818">
            <v>42</v>
          </cell>
          <cell r="G818">
            <v>98196</v>
          </cell>
          <cell r="H818">
            <v>0</v>
          </cell>
          <cell r="I818">
            <v>0.10999999999999999</v>
          </cell>
          <cell r="J818">
            <v>37.837837837837839</v>
          </cell>
          <cell r="K818">
            <v>4.1621621621621614</v>
          </cell>
          <cell r="L818">
            <v>88464.864864864867</v>
          </cell>
          <cell r="M818">
            <v>9731.1351351351332</v>
          </cell>
          <cell r="N818" t="str">
            <v>参考丽山花园B009户型集团审核价50元/m2,综合考虑已定结算上浮20%考虑约60元/m2,按比例拆分给排水约40元/m2.</v>
          </cell>
          <cell r="O818" t="str">
            <v>*</v>
          </cell>
          <cell r="P818">
            <v>0</v>
          </cell>
          <cell r="Q818">
            <v>0</v>
          </cell>
          <cell r="R818">
            <v>88464.864864864867</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88464.864864864867</v>
          </cell>
          <cell r="AS818">
            <v>0</v>
          </cell>
        </row>
        <row r="819">
          <cell r="B819" t="str">
            <v>1T4(30F)</v>
          </cell>
          <cell r="C819" t="str">
            <v>建筑面积</v>
          </cell>
          <cell r="D819" t="str">
            <v>m2</v>
          </cell>
          <cell r="E819">
            <v>100279.12</v>
          </cell>
          <cell r="F819">
            <v>29.999999999999996</v>
          </cell>
          <cell r="G819">
            <v>3008373.5999999996</v>
          </cell>
          <cell r="H819">
            <v>0</v>
          </cell>
          <cell r="I819">
            <v>0.10999999999999999</v>
          </cell>
          <cell r="J819">
            <v>27.027027027027028</v>
          </cell>
          <cell r="K819">
            <v>2.9729729729729684</v>
          </cell>
          <cell r="L819">
            <v>2710246.4864864866</v>
          </cell>
          <cell r="M819">
            <v>298127.113513513</v>
          </cell>
          <cell r="O819" t="str">
            <v>*</v>
          </cell>
          <cell r="P819">
            <v>0</v>
          </cell>
          <cell r="Q819">
            <v>0</v>
          </cell>
          <cell r="R819">
            <v>0</v>
          </cell>
          <cell r="S819">
            <v>2710246.4864864866</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2710246.4864864866</v>
          </cell>
          <cell r="AS819">
            <v>0</v>
          </cell>
        </row>
        <row r="820">
          <cell r="B820" t="str">
            <v>1T3(30F)</v>
          </cell>
          <cell r="C820" t="str">
            <v>建筑面积</v>
          </cell>
          <cell r="D820" t="str">
            <v>m2</v>
          </cell>
          <cell r="E820">
            <v>23428.2</v>
          </cell>
          <cell r="F820">
            <v>30</v>
          </cell>
          <cell r="G820">
            <v>702846</v>
          </cell>
          <cell r="H820">
            <v>0</v>
          </cell>
          <cell r="I820">
            <v>0.10999999999999999</v>
          </cell>
          <cell r="J820">
            <v>27.027027027027032</v>
          </cell>
          <cell r="K820">
            <v>2.9729729729729684</v>
          </cell>
          <cell r="L820">
            <v>633194.59459459467</v>
          </cell>
          <cell r="M820">
            <v>69651.405405405327</v>
          </cell>
          <cell r="N820" t="str">
            <v>参考丽山花园B009户型集团审核价50元/m2,综合考虑已定结算上浮20%考虑约60元/m2,按比例拆分给排水约40元/m2.</v>
          </cell>
          <cell r="O820" t="str">
            <v>*</v>
          </cell>
          <cell r="P820">
            <v>0</v>
          </cell>
          <cell r="Q820">
            <v>0</v>
          </cell>
          <cell r="R820">
            <v>0</v>
          </cell>
          <cell r="S820">
            <v>0</v>
          </cell>
          <cell r="T820">
            <v>633194.59459459467</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633194.59459459467</v>
          </cell>
          <cell r="AS820">
            <v>0</v>
          </cell>
        </row>
        <row r="821">
          <cell r="B821" t="str">
            <v>LOFT(31F)</v>
          </cell>
          <cell r="C821" t="str">
            <v>建筑面积</v>
          </cell>
          <cell r="D821" t="str">
            <v>m2</v>
          </cell>
          <cell r="E821">
            <v>0</v>
          </cell>
          <cell r="F821">
            <v>0</v>
          </cell>
          <cell r="G821">
            <v>0</v>
          </cell>
          <cell r="H821">
            <v>0</v>
          </cell>
          <cell r="I821">
            <v>0.10999999999999999</v>
          </cell>
          <cell r="J821">
            <v>0</v>
          </cell>
          <cell r="K821">
            <v>0</v>
          </cell>
          <cell r="L821">
            <v>0</v>
          </cell>
          <cell r="M821">
            <v>0</v>
          </cell>
          <cell r="O821" t="str">
            <v>*</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row>
        <row r="822">
          <cell r="B822" t="str">
            <v>1T2(31F)</v>
          </cell>
          <cell r="C822" t="str">
            <v>建筑面积</v>
          </cell>
          <cell r="D822" t="str">
            <v>m2</v>
          </cell>
          <cell r="E822">
            <v>0</v>
          </cell>
          <cell r="F822">
            <v>0</v>
          </cell>
          <cell r="H822">
            <v>0</v>
          </cell>
          <cell r="I822">
            <v>0.10999999999999999</v>
          </cell>
          <cell r="J822">
            <v>0</v>
          </cell>
          <cell r="K822">
            <v>0</v>
          </cell>
          <cell r="O822" t="str">
            <v>*</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row>
        <row r="823">
          <cell r="B823" t="str">
            <v>1T8(32F)</v>
          </cell>
          <cell r="C823" t="str">
            <v>建筑面积</v>
          </cell>
          <cell r="D823" t="str">
            <v>m2</v>
          </cell>
          <cell r="E823">
            <v>0</v>
          </cell>
          <cell r="F823">
            <v>0</v>
          </cell>
          <cell r="G823">
            <v>0</v>
          </cell>
          <cell r="H823">
            <v>0</v>
          </cell>
          <cell r="I823">
            <v>0.10999999999999999</v>
          </cell>
          <cell r="J823">
            <v>0</v>
          </cell>
          <cell r="K823">
            <v>0</v>
          </cell>
          <cell r="L823">
            <v>0</v>
          </cell>
          <cell r="M823">
            <v>0</v>
          </cell>
          <cell r="O823" t="str">
            <v>*</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row>
        <row r="824">
          <cell r="B824" t="str">
            <v>中高层洋房</v>
          </cell>
          <cell r="C824" t="str">
            <v>建筑面积</v>
          </cell>
          <cell r="D824" t="str">
            <v>m2</v>
          </cell>
          <cell r="E824">
            <v>0</v>
          </cell>
          <cell r="F824">
            <v>0</v>
          </cell>
          <cell r="G824">
            <v>0</v>
          </cell>
          <cell r="H824">
            <v>0</v>
          </cell>
          <cell r="I824">
            <v>0.10999999999999999</v>
          </cell>
          <cell r="J824">
            <v>0</v>
          </cell>
          <cell r="K824">
            <v>0</v>
          </cell>
          <cell r="L824">
            <v>0</v>
          </cell>
          <cell r="M824">
            <v>0</v>
          </cell>
          <cell r="O824" t="str">
            <v>*</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row>
        <row r="825">
          <cell r="B825" t="str">
            <v>115高层洋房</v>
          </cell>
          <cell r="C825" t="str">
            <v>建筑面积</v>
          </cell>
          <cell r="D825" t="str">
            <v>m2</v>
          </cell>
          <cell r="E825">
            <v>0</v>
          </cell>
          <cell r="F825">
            <v>0</v>
          </cell>
          <cell r="G825">
            <v>0</v>
          </cell>
          <cell r="H825">
            <v>0</v>
          </cell>
          <cell r="I825">
            <v>0.10999999999999999</v>
          </cell>
          <cell r="J825">
            <v>0</v>
          </cell>
          <cell r="K825">
            <v>0</v>
          </cell>
          <cell r="L825">
            <v>0</v>
          </cell>
          <cell r="M825">
            <v>0</v>
          </cell>
          <cell r="N825" t="str">
            <v>参考黄埠项目集团审核价及按已确定结算原则上浮后单方造价约80元/m2,按比例拆分给排水35元/m2</v>
          </cell>
          <cell r="O825" t="str">
            <v>*</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row>
        <row r="826">
          <cell r="B826" t="str">
            <v>超高层洋房</v>
          </cell>
          <cell r="C826" t="str">
            <v>建筑面积</v>
          </cell>
          <cell r="D826" t="str">
            <v>m2</v>
          </cell>
          <cell r="E826">
            <v>0</v>
          </cell>
          <cell r="F826">
            <v>0</v>
          </cell>
          <cell r="G826">
            <v>0</v>
          </cell>
          <cell r="H826">
            <v>0</v>
          </cell>
          <cell r="I826">
            <v>0.10999999999999999</v>
          </cell>
          <cell r="J826">
            <v>0</v>
          </cell>
          <cell r="K826">
            <v>0</v>
          </cell>
          <cell r="L826">
            <v>0</v>
          </cell>
          <cell r="M826">
            <v>0</v>
          </cell>
          <cell r="O826" t="str">
            <v>*</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row>
        <row r="827">
          <cell r="B827" t="str">
            <v>公寓</v>
          </cell>
          <cell r="C827" t="str">
            <v>建筑面积</v>
          </cell>
          <cell r="D827" t="str">
            <v>m2</v>
          </cell>
          <cell r="E827">
            <v>0</v>
          </cell>
          <cell r="F827">
            <v>0</v>
          </cell>
          <cell r="G827">
            <v>0</v>
          </cell>
          <cell r="H827">
            <v>0</v>
          </cell>
          <cell r="I827">
            <v>0.10999999999999999</v>
          </cell>
          <cell r="J827">
            <v>0</v>
          </cell>
          <cell r="K827">
            <v>0</v>
          </cell>
          <cell r="L827">
            <v>0</v>
          </cell>
          <cell r="M827">
            <v>0</v>
          </cell>
          <cell r="O827" t="str">
            <v>*</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row>
        <row r="828">
          <cell r="B828" t="str">
            <v>底商</v>
          </cell>
          <cell r="C828" t="str">
            <v>建筑面积</v>
          </cell>
          <cell r="D828" t="str">
            <v>m2</v>
          </cell>
          <cell r="E828">
            <v>2000</v>
          </cell>
          <cell r="F828">
            <v>30</v>
          </cell>
          <cell r="G828">
            <v>60000</v>
          </cell>
          <cell r="H828">
            <v>0</v>
          </cell>
          <cell r="I828">
            <v>0.10999999999999999</v>
          </cell>
          <cell r="J828">
            <v>27.027027027027032</v>
          </cell>
          <cell r="K828">
            <v>2.9729729729729684</v>
          </cell>
          <cell r="L828">
            <v>54054.054054054061</v>
          </cell>
          <cell r="M828">
            <v>5945.9459459459395</v>
          </cell>
          <cell r="O828" t="str">
            <v>*</v>
          </cell>
          <cell r="P828">
            <v>0</v>
          </cell>
          <cell r="Q828">
            <v>0</v>
          </cell>
          <cell r="R828">
            <v>0</v>
          </cell>
          <cell r="S828">
            <v>0</v>
          </cell>
          <cell r="T828">
            <v>0</v>
          </cell>
          <cell r="U828">
            <v>0</v>
          </cell>
          <cell r="V828">
            <v>0</v>
          </cell>
          <cell r="W828">
            <v>0</v>
          </cell>
          <cell r="X828">
            <v>0</v>
          </cell>
          <cell r="Y828">
            <v>0</v>
          </cell>
          <cell r="Z828">
            <v>0</v>
          </cell>
          <cell r="AA828">
            <v>0</v>
          </cell>
          <cell r="AB828">
            <v>54054.054054054061</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54054.054054054061</v>
          </cell>
          <cell r="AS828">
            <v>0</v>
          </cell>
        </row>
        <row r="829">
          <cell r="B829" t="str">
            <v>商业街</v>
          </cell>
          <cell r="C829" t="str">
            <v>建筑面积</v>
          </cell>
          <cell r="D829" t="str">
            <v>m2</v>
          </cell>
          <cell r="E829">
            <v>0</v>
          </cell>
          <cell r="F829">
            <v>0</v>
          </cell>
          <cell r="G829">
            <v>0</v>
          </cell>
          <cell r="H829">
            <v>0</v>
          </cell>
          <cell r="I829">
            <v>0.10999999999999999</v>
          </cell>
          <cell r="J829">
            <v>0</v>
          </cell>
          <cell r="K829">
            <v>0</v>
          </cell>
          <cell r="L829">
            <v>0</v>
          </cell>
          <cell r="M829">
            <v>0</v>
          </cell>
          <cell r="O829" t="str">
            <v>*</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row>
        <row r="830">
          <cell r="B830" t="str">
            <v>综合楼</v>
          </cell>
          <cell r="C830" t="str">
            <v>建筑面积</v>
          </cell>
          <cell r="D830" t="str">
            <v>m2</v>
          </cell>
          <cell r="E830">
            <v>0</v>
          </cell>
          <cell r="F830">
            <v>0</v>
          </cell>
          <cell r="G830">
            <v>0</v>
          </cell>
          <cell r="H830">
            <v>0</v>
          </cell>
          <cell r="I830">
            <v>0.10999999999999999</v>
          </cell>
          <cell r="J830">
            <v>0</v>
          </cell>
          <cell r="K830">
            <v>0</v>
          </cell>
          <cell r="L830">
            <v>0</v>
          </cell>
          <cell r="M830">
            <v>0</v>
          </cell>
          <cell r="O830" t="str">
            <v>*</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row>
        <row r="831">
          <cell r="B831" t="str">
            <v>写字楼</v>
          </cell>
          <cell r="C831" t="str">
            <v>建筑面积</v>
          </cell>
          <cell r="D831" t="str">
            <v>m2</v>
          </cell>
          <cell r="E831">
            <v>0</v>
          </cell>
          <cell r="F831">
            <v>0</v>
          </cell>
          <cell r="G831">
            <v>0</v>
          </cell>
          <cell r="H831">
            <v>0</v>
          </cell>
          <cell r="I831">
            <v>0.10999999999999999</v>
          </cell>
          <cell r="J831">
            <v>0</v>
          </cell>
          <cell r="K831">
            <v>0</v>
          </cell>
          <cell r="L831">
            <v>0</v>
          </cell>
          <cell r="M831">
            <v>0</v>
          </cell>
          <cell r="O831" t="str">
            <v>*</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row>
        <row r="832">
          <cell r="B832" t="str">
            <v>酒店</v>
          </cell>
          <cell r="C832" t="str">
            <v>建筑面积</v>
          </cell>
          <cell r="D832" t="str">
            <v>m2</v>
          </cell>
          <cell r="E832">
            <v>0</v>
          </cell>
          <cell r="F832">
            <v>0</v>
          </cell>
          <cell r="G832">
            <v>0</v>
          </cell>
          <cell r="H832">
            <v>0</v>
          </cell>
          <cell r="I832">
            <v>0.10999999999999999</v>
          </cell>
          <cell r="J832">
            <v>0</v>
          </cell>
          <cell r="K832">
            <v>0</v>
          </cell>
          <cell r="L832">
            <v>0</v>
          </cell>
          <cell r="M832">
            <v>0</v>
          </cell>
          <cell r="O832" t="str">
            <v>*</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row>
        <row r="833">
          <cell r="B833" t="str">
            <v>医院（自持）</v>
          </cell>
          <cell r="C833" t="str">
            <v>建筑面积</v>
          </cell>
          <cell r="D833" t="str">
            <v>m2</v>
          </cell>
          <cell r="E833">
            <v>0</v>
          </cell>
          <cell r="F833">
            <v>0</v>
          </cell>
          <cell r="G833">
            <v>0</v>
          </cell>
          <cell r="H833">
            <v>0</v>
          </cell>
          <cell r="I833">
            <v>0.10999999999999999</v>
          </cell>
          <cell r="J833">
            <v>0</v>
          </cell>
          <cell r="K833">
            <v>0</v>
          </cell>
          <cell r="L833">
            <v>0</v>
          </cell>
          <cell r="M833">
            <v>0</v>
          </cell>
          <cell r="O833" t="str">
            <v>*</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row>
        <row r="834">
          <cell r="B834" t="str">
            <v>地上计容车库</v>
          </cell>
          <cell r="C834" t="str">
            <v>建筑面积</v>
          </cell>
          <cell r="D834" t="str">
            <v>m2</v>
          </cell>
          <cell r="E834">
            <v>0</v>
          </cell>
          <cell r="F834">
            <v>0</v>
          </cell>
          <cell r="G834">
            <v>0</v>
          </cell>
          <cell r="H834">
            <v>0</v>
          </cell>
          <cell r="I834">
            <v>0.10999999999999999</v>
          </cell>
          <cell r="J834">
            <v>0</v>
          </cell>
          <cell r="K834">
            <v>0</v>
          </cell>
          <cell r="L834">
            <v>0</v>
          </cell>
          <cell r="M834">
            <v>0</v>
          </cell>
          <cell r="O834" t="str">
            <v>*</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row>
        <row r="835">
          <cell r="B835" t="str">
            <v>非人防地下室</v>
          </cell>
          <cell r="C835" t="str">
            <v>建筑面积</v>
          </cell>
          <cell r="D835" t="str">
            <v>m2</v>
          </cell>
          <cell r="E835">
            <v>77471.58</v>
          </cell>
          <cell r="F835">
            <v>35</v>
          </cell>
          <cell r="G835">
            <v>2711505.3000000003</v>
          </cell>
          <cell r="H835">
            <v>0</v>
          </cell>
          <cell r="I835">
            <v>0.10999999999999999</v>
          </cell>
          <cell r="J835">
            <v>31.531531531531535</v>
          </cell>
          <cell r="K835">
            <v>3.4684684684684655</v>
          </cell>
          <cell r="L835">
            <v>2442797.5675675678</v>
          </cell>
          <cell r="M835">
            <v>268707.73243243247</v>
          </cell>
          <cell r="O835" t="str">
            <v>*</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2442797.5675675678</v>
          </cell>
          <cell r="AH835">
            <v>0</v>
          </cell>
          <cell r="AI835">
            <v>0</v>
          </cell>
          <cell r="AJ835">
            <v>0</v>
          </cell>
          <cell r="AK835">
            <v>0</v>
          </cell>
          <cell r="AL835">
            <v>0</v>
          </cell>
          <cell r="AM835">
            <v>0</v>
          </cell>
          <cell r="AN835">
            <v>0</v>
          </cell>
          <cell r="AO835">
            <v>0</v>
          </cell>
          <cell r="AP835">
            <v>0</v>
          </cell>
          <cell r="AQ835">
            <v>0</v>
          </cell>
          <cell r="AR835">
            <v>2442797.5675675678</v>
          </cell>
          <cell r="AS835">
            <v>0</v>
          </cell>
        </row>
        <row r="836">
          <cell r="B836" t="str">
            <v>人防地下室</v>
          </cell>
          <cell r="C836" t="str">
            <v>建筑面积</v>
          </cell>
          <cell r="D836" t="str">
            <v>m2</v>
          </cell>
          <cell r="E836">
            <v>9400</v>
          </cell>
          <cell r="F836">
            <v>35</v>
          </cell>
          <cell r="G836">
            <v>329000</v>
          </cell>
          <cell r="H836">
            <v>0</v>
          </cell>
          <cell r="I836">
            <v>0.10999999999999999</v>
          </cell>
          <cell r="J836">
            <v>31.531531531531535</v>
          </cell>
          <cell r="K836">
            <v>3.4684684684684655</v>
          </cell>
          <cell r="L836">
            <v>296396.39639639645</v>
          </cell>
          <cell r="M836">
            <v>32603.603603603551</v>
          </cell>
          <cell r="O836" t="str">
            <v>*</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296396.39639639645</v>
          </cell>
          <cell r="AI836">
            <v>0</v>
          </cell>
          <cell r="AJ836">
            <v>0</v>
          </cell>
          <cell r="AK836">
            <v>0</v>
          </cell>
          <cell r="AL836">
            <v>0</v>
          </cell>
          <cell r="AM836">
            <v>0</v>
          </cell>
          <cell r="AN836">
            <v>0</v>
          </cell>
          <cell r="AO836">
            <v>0</v>
          </cell>
          <cell r="AP836">
            <v>0</v>
          </cell>
          <cell r="AQ836">
            <v>0</v>
          </cell>
          <cell r="AR836">
            <v>296396.39639639645</v>
          </cell>
          <cell r="AS836">
            <v>0</v>
          </cell>
        </row>
        <row r="837">
          <cell r="B837" t="str">
            <v>独立会所（综合楼）</v>
          </cell>
          <cell r="C837" t="str">
            <v>建筑面积</v>
          </cell>
          <cell r="D837" t="str">
            <v>m2</v>
          </cell>
          <cell r="E837">
            <v>0</v>
          </cell>
          <cell r="F837">
            <v>0</v>
          </cell>
          <cell r="G837">
            <v>0</v>
          </cell>
          <cell r="H837">
            <v>0</v>
          </cell>
          <cell r="I837">
            <v>0.10999999999999999</v>
          </cell>
          <cell r="J837">
            <v>0</v>
          </cell>
          <cell r="K837">
            <v>0</v>
          </cell>
          <cell r="L837">
            <v>0</v>
          </cell>
          <cell r="M837">
            <v>0</v>
          </cell>
          <cell r="O837" t="str">
            <v>*</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row>
        <row r="838">
          <cell r="B838" t="str">
            <v>活动中心</v>
          </cell>
          <cell r="C838" t="str">
            <v>建筑面积</v>
          </cell>
          <cell r="D838" t="str">
            <v>m2</v>
          </cell>
          <cell r="E838">
            <v>0</v>
          </cell>
          <cell r="F838">
            <v>0</v>
          </cell>
          <cell r="G838">
            <v>0</v>
          </cell>
          <cell r="H838">
            <v>0</v>
          </cell>
          <cell r="I838">
            <v>0.10999999999999999</v>
          </cell>
          <cell r="J838">
            <v>0</v>
          </cell>
          <cell r="K838">
            <v>0</v>
          </cell>
          <cell r="L838">
            <v>0</v>
          </cell>
          <cell r="M838">
            <v>0</v>
          </cell>
          <cell r="O838" t="str">
            <v>*</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row>
        <row r="839">
          <cell r="B839" t="str">
            <v>商贸市场</v>
          </cell>
          <cell r="C839" t="str">
            <v>建筑面积</v>
          </cell>
          <cell r="D839" t="str">
            <v>m2</v>
          </cell>
          <cell r="E839">
            <v>0</v>
          </cell>
          <cell r="F839">
            <v>0</v>
          </cell>
          <cell r="G839">
            <v>0</v>
          </cell>
          <cell r="H839">
            <v>0</v>
          </cell>
          <cell r="I839">
            <v>0.10999999999999999</v>
          </cell>
          <cell r="J839">
            <v>0</v>
          </cell>
          <cell r="K839">
            <v>0</v>
          </cell>
          <cell r="L839">
            <v>0</v>
          </cell>
          <cell r="M839">
            <v>0</v>
          </cell>
          <cell r="O839" t="str">
            <v>*</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row>
        <row r="840">
          <cell r="B840" t="str">
            <v>医院</v>
          </cell>
          <cell r="C840" t="str">
            <v>建筑面积</v>
          </cell>
          <cell r="D840" t="str">
            <v>m2</v>
          </cell>
          <cell r="E840">
            <v>0</v>
          </cell>
          <cell r="F840">
            <v>0</v>
          </cell>
          <cell r="G840">
            <v>0</v>
          </cell>
          <cell r="H840">
            <v>0</v>
          </cell>
          <cell r="I840">
            <v>0.10999999999999999</v>
          </cell>
          <cell r="J840">
            <v>0</v>
          </cell>
          <cell r="K840">
            <v>0</v>
          </cell>
          <cell r="L840">
            <v>0</v>
          </cell>
          <cell r="M840">
            <v>0</v>
          </cell>
          <cell r="O840" t="str">
            <v>*</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row>
        <row r="841">
          <cell r="B841" t="str">
            <v>幼儿园</v>
          </cell>
          <cell r="C841" t="str">
            <v>建筑面积</v>
          </cell>
          <cell r="D841" t="str">
            <v>m2</v>
          </cell>
          <cell r="E841">
            <v>0</v>
          </cell>
          <cell r="F841">
            <v>0</v>
          </cell>
          <cell r="G841">
            <v>0</v>
          </cell>
          <cell r="H841">
            <v>0</v>
          </cell>
          <cell r="I841">
            <v>0.10999999999999999</v>
          </cell>
          <cell r="J841">
            <v>0</v>
          </cell>
          <cell r="K841">
            <v>0</v>
          </cell>
          <cell r="L841">
            <v>0</v>
          </cell>
          <cell r="M841">
            <v>0</v>
          </cell>
          <cell r="O841" t="str">
            <v>*</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row>
        <row r="842">
          <cell r="B842" t="str">
            <v>学校</v>
          </cell>
          <cell r="C842" t="str">
            <v>建筑面积</v>
          </cell>
          <cell r="D842" t="str">
            <v>m2</v>
          </cell>
          <cell r="E842">
            <v>0</v>
          </cell>
          <cell r="F842">
            <v>0</v>
          </cell>
          <cell r="G842">
            <v>0</v>
          </cell>
          <cell r="H842">
            <v>0</v>
          </cell>
          <cell r="I842">
            <v>0.10999999999999999</v>
          </cell>
          <cell r="J842">
            <v>0</v>
          </cell>
          <cell r="K842">
            <v>0</v>
          </cell>
          <cell r="L842">
            <v>0</v>
          </cell>
          <cell r="M842">
            <v>0</v>
          </cell>
          <cell r="O842" t="str">
            <v>*</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row>
        <row r="843">
          <cell r="B843" t="str">
            <v>员工宿舍</v>
          </cell>
          <cell r="C843" t="str">
            <v>建筑面积</v>
          </cell>
          <cell r="D843" t="str">
            <v>m2</v>
          </cell>
          <cell r="E843">
            <v>0</v>
          </cell>
          <cell r="F843">
            <v>0</v>
          </cell>
          <cell r="G843">
            <v>0</v>
          </cell>
          <cell r="H843">
            <v>0</v>
          </cell>
          <cell r="I843">
            <v>0.10999999999999999</v>
          </cell>
          <cell r="J843">
            <v>0</v>
          </cell>
          <cell r="K843">
            <v>0</v>
          </cell>
          <cell r="L843">
            <v>0</v>
          </cell>
          <cell r="M843">
            <v>0</v>
          </cell>
          <cell r="O843" t="str">
            <v>*</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row>
        <row r="844">
          <cell r="A844" t="str">
            <v>03.03.01.02</v>
          </cell>
          <cell r="B844" t="str">
            <v>电气工程</v>
          </cell>
          <cell r="C844" t="str">
            <v>建筑面积</v>
          </cell>
          <cell r="D844" t="str">
            <v>m2</v>
          </cell>
          <cell r="E844">
            <v>241586.90000000002</v>
          </cell>
          <cell r="F844">
            <v>53.186083268587822</v>
          </cell>
          <cell r="G844">
            <v>12849060.98</v>
          </cell>
          <cell r="I844">
            <v>0.10999999999999986</v>
          </cell>
          <cell r="J844">
            <v>47.915390332061108</v>
          </cell>
          <cell r="K844">
            <v>5.2706929365267143</v>
          </cell>
          <cell r="L844">
            <v>11575730.612612614</v>
          </cell>
          <cell r="M844">
            <v>1273330.367387386</v>
          </cell>
          <cell r="P844">
            <v>0</v>
          </cell>
          <cell r="Q844">
            <v>985108.10810810816</v>
          </cell>
          <cell r="R844">
            <v>86358.558558558565</v>
          </cell>
          <cell r="S844">
            <v>3432978.8828828828</v>
          </cell>
          <cell r="T844">
            <v>802046.48648648651</v>
          </cell>
          <cell r="U844">
            <v>0</v>
          </cell>
          <cell r="V844">
            <v>0</v>
          </cell>
          <cell r="W844">
            <v>0</v>
          </cell>
          <cell r="X844">
            <v>0</v>
          </cell>
          <cell r="Y844">
            <v>0</v>
          </cell>
          <cell r="Z844">
            <v>0</v>
          </cell>
          <cell r="AA844">
            <v>0</v>
          </cell>
          <cell r="AB844">
            <v>86486.486486486494</v>
          </cell>
          <cell r="AC844">
            <v>0</v>
          </cell>
          <cell r="AD844">
            <v>0</v>
          </cell>
          <cell r="AE844">
            <v>0</v>
          </cell>
          <cell r="AF844">
            <v>0</v>
          </cell>
          <cell r="AG844">
            <v>5513743.0810810821</v>
          </cell>
          <cell r="AH844">
            <v>669009.00900900911</v>
          </cell>
          <cell r="AI844">
            <v>0</v>
          </cell>
          <cell r="AJ844">
            <v>0</v>
          </cell>
          <cell r="AK844">
            <v>0</v>
          </cell>
          <cell r="AL844">
            <v>0</v>
          </cell>
          <cell r="AM844">
            <v>0</v>
          </cell>
          <cell r="AN844">
            <v>0</v>
          </cell>
          <cell r="AO844">
            <v>0</v>
          </cell>
          <cell r="AP844">
            <v>0</v>
          </cell>
          <cell r="AQ844">
            <v>0</v>
          </cell>
          <cell r="AR844">
            <v>11575730.612612614</v>
          </cell>
          <cell r="AS844">
            <v>0</v>
          </cell>
        </row>
        <row r="845">
          <cell r="B845">
            <v>100</v>
          </cell>
          <cell r="C845" t="str">
            <v>建筑面积</v>
          </cell>
          <cell r="D845" t="str">
            <v>m2</v>
          </cell>
          <cell r="E845">
            <v>0</v>
          </cell>
          <cell r="F845">
            <v>0</v>
          </cell>
          <cell r="G845">
            <v>0</v>
          </cell>
          <cell r="H845">
            <v>0</v>
          </cell>
          <cell r="I845">
            <v>0.10999999999999999</v>
          </cell>
          <cell r="J845">
            <v>0</v>
          </cell>
          <cell r="K845">
            <v>0</v>
          </cell>
          <cell r="L845">
            <v>0</v>
          </cell>
          <cell r="M845">
            <v>0</v>
          </cell>
          <cell r="N845" t="str">
            <v>参考黄埠项目集团审核价及按已确定结算原则上浮后单方造价约80元/m2,按比例拆分电气30元/m2</v>
          </cell>
          <cell r="O845" t="str">
            <v>*</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row>
        <row r="846">
          <cell r="B846">
            <v>125</v>
          </cell>
          <cell r="C846" t="str">
            <v>建筑面积</v>
          </cell>
          <cell r="D846" t="str">
            <v>m2</v>
          </cell>
          <cell r="E846">
            <v>26670</v>
          </cell>
          <cell r="F846">
            <v>41</v>
          </cell>
          <cell r="G846">
            <v>1093470</v>
          </cell>
          <cell r="H846">
            <v>0</v>
          </cell>
          <cell r="I846">
            <v>0.10999999999999999</v>
          </cell>
          <cell r="J846">
            <v>36.936936936936938</v>
          </cell>
          <cell r="K846">
            <v>4.063063063063062</v>
          </cell>
          <cell r="L846">
            <v>985108.10810810816</v>
          </cell>
          <cell r="M846">
            <v>108361.89189189184</v>
          </cell>
          <cell r="O846" t="str">
            <v>*</v>
          </cell>
          <cell r="P846">
            <v>0</v>
          </cell>
          <cell r="Q846">
            <v>985108.10810810816</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985108.10810810816</v>
          </cell>
          <cell r="AS846">
            <v>0</v>
          </cell>
        </row>
        <row r="847">
          <cell r="B847">
            <v>150</v>
          </cell>
          <cell r="C847" t="str">
            <v>建筑面积</v>
          </cell>
          <cell r="D847" t="str">
            <v>m2</v>
          </cell>
          <cell r="E847">
            <v>2338</v>
          </cell>
          <cell r="F847">
            <v>41</v>
          </cell>
          <cell r="G847">
            <v>95858</v>
          </cell>
          <cell r="H847">
            <v>0</v>
          </cell>
          <cell r="I847">
            <v>0.10999999999999999</v>
          </cell>
          <cell r="J847">
            <v>36.936936936936938</v>
          </cell>
          <cell r="K847">
            <v>4.063063063063062</v>
          </cell>
          <cell r="L847">
            <v>86358.558558558565</v>
          </cell>
          <cell r="M847">
            <v>9499.441441441435</v>
          </cell>
          <cell r="N847" t="str">
            <v>参考黄埠项目集团审核价及按已确定结算原则上浮后单方造价约80元/m2,按比例拆分电气30元/m2</v>
          </cell>
          <cell r="O847" t="str">
            <v>*</v>
          </cell>
          <cell r="P847">
            <v>0</v>
          </cell>
          <cell r="Q847">
            <v>0</v>
          </cell>
          <cell r="R847">
            <v>86358.558558558565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86358.558558558565</v>
          </cell>
          <cell r="AS847">
            <v>0</v>
          </cell>
        </row>
        <row r="848">
          <cell r="B848" t="str">
            <v>1T4(30F)</v>
          </cell>
          <cell r="C848" t="str">
            <v>建筑面积</v>
          </cell>
          <cell r="D848" t="str">
            <v>m2</v>
          </cell>
          <cell r="E848">
            <v>100279.12</v>
          </cell>
          <cell r="F848">
            <v>38</v>
          </cell>
          <cell r="G848">
            <v>3810606.5599999996</v>
          </cell>
          <cell r="H848">
            <v>0</v>
          </cell>
          <cell r="I848">
            <v>0.10999999999999999</v>
          </cell>
          <cell r="J848">
            <v>34.234234234234236</v>
          </cell>
          <cell r="K848">
            <v>3.7657657657657637</v>
          </cell>
          <cell r="L848">
            <v>3432978.8828828828</v>
          </cell>
          <cell r="M848">
            <v>377627.67711711675</v>
          </cell>
          <cell r="O848" t="str">
            <v>*</v>
          </cell>
          <cell r="P848">
            <v>0</v>
          </cell>
          <cell r="Q848">
            <v>0</v>
          </cell>
          <cell r="R848">
            <v>0</v>
          </cell>
          <cell r="S848">
            <v>3432978.8828828828</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3432978.8828828828</v>
          </cell>
          <cell r="AS848">
            <v>0</v>
          </cell>
        </row>
        <row r="849">
          <cell r="B849" t="str">
            <v>1T3(30F)</v>
          </cell>
          <cell r="C849" t="str">
            <v>建筑面积</v>
          </cell>
          <cell r="D849" t="str">
            <v>m2</v>
          </cell>
          <cell r="E849">
            <v>23428.2</v>
          </cell>
          <cell r="F849">
            <v>38</v>
          </cell>
          <cell r="G849">
            <v>890271.6</v>
          </cell>
          <cell r="H849">
            <v>0</v>
          </cell>
          <cell r="I849">
            <v>0.10999999999999999</v>
          </cell>
          <cell r="J849">
            <v>34.234234234234236</v>
          </cell>
          <cell r="K849">
            <v>3.7657657657657637</v>
          </cell>
          <cell r="L849">
            <v>802046.48648648651</v>
          </cell>
          <cell r="M849">
            <v>88225.113513513468</v>
          </cell>
          <cell r="N849" t="str">
            <v>参考黄埠项目集团审核价及按已确定结算原则上浮后单方造价约80元/m2,按比例拆分电气30元/m2</v>
          </cell>
          <cell r="O849" t="str">
            <v>*</v>
          </cell>
          <cell r="P849">
            <v>0</v>
          </cell>
          <cell r="Q849">
            <v>0</v>
          </cell>
          <cell r="R849">
            <v>0</v>
          </cell>
          <cell r="S849">
            <v>0</v>
          </cell>
          <cell r="T849">
            <v>802046.48648648651</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802046.48648648651</v>
          </cell>
          <cell r="AS849">
            <v>0</v>
          </cell>
        </row>
        <row r="850">
          <cell r="B850" t="str">
            <v>LOFT(31F)</v>
          </cell>
          <cell r="C850" t="str">
            <v>建筑面积</v>
          </cell>
          <cell r="D850" t="str">
            <v>m2</v>
          </cell>
          <cell r="E850">
            <v>0</v>
          </cell>
          <cell r="F850">
            <v>0</v>
          </cell>
          <cell r="G850">
            <v>0</v>
          </cell>
          <cell r="H850">
            <v>0</v>
          </cell>
          <cell r="I850">
            <v>0.10999999999999999</v>
          </cell>
          <cell r="J850">
            <v>0</v>
          </cell>
          <cell r="K850">
            <v>0</v>
          </cell>
          <cell r="L850">
            <v>0</v>
          </cell>
          <cell r="M850">
            <v>0</v>
          </cell>
          <cell r="O850" t="str">
            <v>*</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row>
        <row r="851">
          <cell r="B851" t="str">
            <v>1T2(31F)</v>
          </cell>
          <cell r="C851" t="str">
            <v>建筑面积</v>
          </cell>
          <cell r="D851" t="str">
            <v>m2</v>
          </cell>
          <cell r="E851">
            <v>0</v>
          </cell>
          <cell r="F851">
            <v>0</v>
          </cell>
          <cell r="H851">
            <v>0</v>
          </cell>
          <cell r="I851">
            <v>0.10999999999999999</v>
          </cell>
          <cell r="O851" t="str">
            <v>*</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row>
        <row r="852">
          <cell r="B852" t="str">
            <v>1T8(32F)</v>
          </cell>
          <cell r="C852" t="str">
            <v>建筑面积</v>
          </cell>
          <cell r="D852" t="str">
            <v>m2</v>
          </cell>
          <cell r="E852">
            <v>0</v>
          </cell>
          <cell r="F852">
            <v>0</v>
          </cell>
          <cell r="G852">
            <v>0</v>
          </cell>
          <cell r="H852">
            <v>0</v>
          </cell>
          <cell r="I852">
            <v>0.10999999999999999</v>
          </cell>
          <cell r="J852">
            <v>0</v>
          </cell>
          <cell r="K852">
            <v>0</v>
          </cell>
          <cell r="L852">
            <v>0</v>
          </cell>
          <cell r="M852">
            <v>0</v>
          </cell>
          <cell r="O852" t="str">
            <v>*</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row>
        <row r="853">
          <cell r="B853" t="str">
            <v>中高层洋房</v>
          </cell>
          <cell r="C853" t="str">
            <v>建筑面积</v>
          </cell>
          <cell r="D853" t="str">
            <v>m2</v>
          </cell>
          <cell r="E853">
            <v>0</v>
          </cell>
          <cell r="F853">
            <v>0</v>
          </cell>
          <cell r="G853">
            <v>0</v>
          </cell>
          <cell r="H853">
            <v>0</v>
          </cell>
          <cell r="I853">
            <v>0.10999999999999999</v>
          </cell>
          <cell r="J853">
            <v>0</v>
          </cell>
          <cell r="K853">
            <v>0</v>
          </cell>
          <cell r="L853">
            <v>0</v>
          </cell>
          <cell r="M853">
            <v>0</v>
          </cell>
          <cell r="O853" t="str">
            <v>*</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row>
        <row r="854">
          <cell r="B854" t="str">
            <v>115高层洋房</v>
          </cell>
          <cell r="C854" t="str">
            <v>建筑面积</v>
          </cell>
          <cell r="D854" t="str">
            <v>m2</v>
          </cell>
          <cell r="E854">
            <v>0</v>
          </cell>
          <cell r="F854">
            <v>0</v>
          </cell>
          <cell r="G854">
            <v>0</v>
          </cell>
          <cell r="H854">
            <v>0</v>
          </cell>
          <cell r="I854">
            <v>0.10999999999999999</v>
          </cell>
          <cell r="J854">
            <v>0</v>
          </cell>
          <cell r="K854">
            <v>0</v>
          </cell>
          <cell r="L854">
            <v>0</v>
          </cell>
          <cell r="M854">
            <v>0</v>
          </cell>
          <cell r="N854" t="str">
            <v>参考黄埠项目集团审核价及按已确定结算原则上浮后单方造价约80元/m2,按比例拆分电气38元/m2</v>
          </cell>
          <cell r="O854" t="str">
            <v>*</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row>
        <row r="855">
          <cell r="B855" t="str">
            <v>超高层洋房</v>
          </cell>
          <cell r="C855" t="str">
            <v>建筑面积</v>
          </cell>
          <cell r="D855" t="str">
            <v>m2</v>
          </cell>
          <cell r="E855">
            <v>0</v>
          </cell>
          <cell r="F855">
            <v>0</v>
          </cell>
          <cell r="G855">
            <v>0</v>
          </cell>
          <cell r="H855">
            <v>0</v>
          </cell>
          <cell r="I855">
            <v>0.10999999999999999</v>
          </cell>
          <cell r="J855">
            <v>0</v>
          </cell>
          <cell r="K855">
            <v>0</v>
          </cell>
          <cell r="L855">
            <v>0</v>
          </cell>
          <cell r="M855">
            <v>0</v>
          </cell>
          <cell r="O855" t="str">
            <v>*</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row>
        <row r="856">
          <cell r="B856" t="str">
            <v>公寓</v>
          </cell>
          <cell r="C856" t="str">
            <v>建筑面积</v>
          </cell>
          <cell r="D856" t="str">
            <v>m2</v>
          </cell>
          <cell r="E856">
            <v>0</v>
          </cell>
          <cell r="F856">
            <v>0</v>
          </cell>
          <cell r="G856">
            <v>0</v>
          </cell>
          <cell r="H856">
            <v>0</v>
          </cell>
          <cell r="I856">
            <v>0.10999999999999999</v>
          </cell>
          <cell r="J856">
            <v>0</v>
          </cell>
          <cell r="K856">
            <v>0</v>
          </cell>
          <cell r="L856">
            <v>0</v>
          </cell>
          <cell r="M856">
            <v>0</v>
          </cell>
          <cell r="O856" t="str">
            <v>*</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row>
        <row r="857">
          <cell r="B857" t="str">
            <v>底商</v>
          </cell>
          <cell r="C857" t="str">
            <v>建筑面积</v>
          </cell>
          <cell r="D857" t="str">
            <v>m2</v>
          </cell>
          <cell r="E857">
            <v>2000</v>
          </cell>
          <cell r="F857">
            <v>48</v>
          </cell>
          <cell r="G857">
            <v>96000</v>
          </cell>
          <cell r="H857">
            <v>0</v>
          </cell>
          <cell r="I857">
            <v>0.10999999999999999</v>
          </cell>
          <cell r="J857">
            <v>43.243243243243249</v>
          </cell>
          <cell r="K857">
            <v>4.7567567567567508</v>
          </cell>
          <cell r="L857">
            <v>86486.486486486494</v>
          </cell>
          <cell r="M857">
            <v>9513.513513513506</v>
          </cell>
          <cell r="O857" t="str">
            <v>*</v>
          </cell>
          <cell r="P857">
            <v>0</v>
          </cell>
          <cell r="Q857">
            <v>0</v>
          </cell>
          <cell r="R857">
            <v>0</v>
          </cell>
          <cell r="S857">
            <v>0</v>
          </cell>
          <cell r="T857">
            <v>0</v>
          </cell>
          <cell r="U857">
            <v>0</v>
          </cell>
          <cell r="V857">
            <v>0</v>
          </cell>
          <cell r="W857">
            <v>0</v>
          </cell>
          <cell r="X857">
            <v>0</v>
          </cell>
          <cell r="Y857">
            <v>0</v>
          </cell>
          <cell r="Z857">
            <v>0</v>
          </cell>
          <cell r="AA857">
            <v>0</v>
          </cell>
          <cell r="AB857">
            <v>86486.486486486494</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86486.486486486494</v>
          </cell>
          <cell r="AS857">
            <v>0</v>
          </cell>
        </row>
        <row r="858">
          <cell r="B858" t="str">
            <v>商业街</v>
          </cell>
          <cell r="C858" t="str">
            <v>建筑面积</v>
          </cell>
          <cell r="D858" t="str">
            <v>m2</v>
          </cell>
          <cell r="E858">
            <v>0</v>
          </cell>
          <cell r="F858">
            <v>0</v>
          </cell>
          <cell r="G858">
            <v>0</v>
          </cell>
          <cell r="H858">
            <v>0</v>
          </cell>
          <cell r="I858">
            <v>0.10999999999999999</v>
          </cell>
          <cell r="J858">
            <v>0</v>
          </cell>
          <cell r="K858">
            <v>0</v>
          </cell>
          <cell r="L858">
            <v>0</v>
          </cell>
          <cell r="M858">
            <v>0</v>
          </cell>
          <cell r="O858" t="str">
            <v>*</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row>
        <row r="859">
          <cell r="B859" t="str">
            <v>综合楼</v>
          </cell>
          <cell r="C859" t="str">
            <v>建筑面积</v>
          </cell>
          <cell r="D859" t="str">
            <v>m2</v>
          </cell>
          <cell r="E859">
            <v>0</v>
          </cell>
          <cell r="F859">
            <v>0</v>
          </cell>
          <cell r="G859">
            <v>0</v>
          </cell>
          <cell r="H859">
            <v>0</v>
          </cell>
          <cell r="I859">
            <v>0.10999999999999999</v>
          </cell>
          <cell r="J859">
            <v>0</v>
          </cell>
          <cell r="K859">
            <v>0</v>
          </cell>
          <cell r="L859">
            <v>0</v>
          </cell>
          <cell r="M859">
            <v>0</v>
          </cell>
          <cell r="O859" t="str">
            <v>*</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row>
        <row r="860">
          <cell r="B860" t="str">
            <v>写字楼</v>
          </cell>
          <cell r="C860" t="str">
            <v>建筑面积</v>
          </cell>
          <cell r="D860" t="str">
            <v>m2</v>
          </cell>
          <cell r="E860">
            <v>0</v>
          </cell>
          <cell r="F860">
            <v>0</v>
          </cell>
          <cell r="G860">
            <v>0</v>
          </cell>
          <cell r="H860">
            <v>0</v>
          </cell>
          <cell r="I860">
            <v>0.10999999999999999</v>
          </cell>
          <cell r="J860">
            <v>0</v>
          </cell>
          <cell r="K860">
            <v>0</v>
          </cell>
          <cell r="L860">
            <v>0</v>
          </cell>
          <cell r="M860">
            <v>0</v>
          </cell>
          <cell r="O860" t="str">
            <v>*</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row>
        <row r="861">
          <cell r="B861" t="str">
            <v>酒店</v>
          </cell>
          <cell r="C861" t="str">
            <v>建筑面积</v>
          </cell>
          <cell r="D861" t="str">
            <v>m2</v>
          </cell>
          <cell r="E861">
            <v>0</v>
          </cell>
          <cell r="F861">
            <v>0</v>
          </cell>
          <cell r="G861">
            <v>0</v>
          </cell>
          <cell r="H861">
            <v>0</v>
          </cell>
          <cell r="I861">
            <v>0.10999999999999999</v>
          </cell>
          <cell r="J861">
            <v>0</v>
          </cell>
          <cell r="K861">
            <v>0</v>
          </cell>
          <cell r="L861">
            <v>0</v>
          </cell>
          <cell r="M861">
            <v>0</v>
          </cell>
          <cell r="O861" t="str">
            <v>*</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row>
        <row r="862">
          <cell r="B862" t="str">
            <v>医院（自持）</v>
          </cell>
          <cell r="C862" t="str">
            <v>建筑面积</v>
          </cell>
          <cell r="D862" t="str">
            <v>m2</v>
          </cell>
          <cell r="E862">
            <v>0</v>
          </cell>
          <cell r="F862">
            <v>0</v>
          </cell>
          <cell r="G862">
            <v>0</v>
          </cell>
          <cell r="H862">
            <v>0</v>
          </cell>
          <cell r="I862">
            <v>0.10999999999999999</v>
          </cell>
          <cell r="J862">
            <v>0</v>
          </cell>
          <cell r="K862">
            <v>0</v>
          </cell>
          <cell r="L862">
            <v>0</v>
          </cell>
          <cell r="M862">
            <v>0</v>
          </cell>
          <cell r="O862" t="str">
            <v>*</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row>
        <row r="863">
          <cell r="B863" t="str">
            <v>地上计容车库</v>
          </cell>
          <cell r="C863" t="str">
            <v>建筑面积</v>
          </cell>
          <cell r="D863" t="str">
            <v>m2</v>
          </cell>
          <cell r="E863">
            <v>0</v>
          </cell>
          <cell r="F863">
            <v>0</v>
          </cell>
          <cell r="G863">
            <v>0</v>
          </cell>
          <cell r="H863">
            <v>0</v>
          </cell>
          <cell r="I863">
            <v>0.10999999999999999</v>
          </cell>
          <cell r="J863">
            <v>0</v>
          </cell>
          <cell r="K863">
            <v>0</v>
          </cell>
          <cell r="L863">
            <v>0</v>
          </cell>
          <cell r="M863">
            <v>0</v>
          </cell>
          <cell r="O863" t="str">
            <v>*</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row>
        <row r="864">
          <cell r="B864" t="str">
            <v>非人防地下室</v>
          </cell>
          <cell r="C864" t="str">
            <v>建筑面积</v>
          </cell>
          <cell r="D864" t="str">
            <v>m2</v>
          </cell>
          <cell r="E864">
            <v>77471.58</v>
          </cell>
          <cell r="F864">
            <v>79</v>
          </cell>
          <cell r="G864">
            <v>6120254.8200000003</v>
          </cell>
          <cell r="H864">
            <v>0</v>
          </cell>
          <cell r="I864">
            <v>0.10999999999999999</v>
          </cell>
          <cell r="J864">
            <v>71.171171171171181</v>
          </cell>
          <cell r="K864">
            <v>7.8288288288288186</v>
          </cell>
          <cell r="L864">
            <v>5513743.0810810821</v>
          </cell>
          <cell r="M864">
            <v>606511.73891891818</v>
          </cell>
          <cell r="O864" t="str">
            <v>*</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5513743.0810810821</v>
          </cell>
          <cell r="AH864">
            <v>0</v>
          </cell>
          <cell r="AI864">
            <v>0</v>
          </cell>
          <cell r="AJ864">
            <v>0</v>
          </cell>
          <cell r="AK864">
            <v>0</v>
          </cell>
          <cell r="AL864">
            <v>0</v>
          </cell>
          <cell r="AM864">
            <v>0</v>
          </cell>
          <cell r="AN864">
            <v>0</v>
          </cell>
          <cell r="AO864">
            <v>0</v>
          </cell>
          <cell r="AP864">
            <v>0</v>
          </cell>
          <cell r="AQ864">
            <v>0</v>
          </cell>
          <cell r="AR864">
            <v>5513743.0810810821</v>
          </cell>
          <cell r="AS864">
            <v>0</v>
          </cell>
        </row>
        <row r="865">
          <cell r="B865" t="str">
            <v>人防地下室</v>
          </cell>
          <cell r="C865" t="str">
            <v>建筑面积</v>
          </cell>
          <cell r="D865" t="str">
            <v>m2</v>
          </cell>
          <cell r="E865">
            <v>9400</v>
          </cell>
          <cell r="F865">
            <v>79</v>
          </cell>
          <cell r="G865">
            <v>742600</v>
          </cell>
          <cell r="H865">
            <v>0</v>
          </cell>
          <cell r="I865">
            <v>0.10999999999999999</v>
          </cell>
          <cell r="J865">
            <v>71.171171171171181</v>
          </cell>
          <cell r="K865">
            <v>7.8288288288288186</v>
          </cell>
          <cell r="L865">
            <v>669009.00900900911</v>
          </cell>
          <cell r="M865">
            <v>73590.990990990889</v>
          </cell>
          <cell r="O865" t="str">
            <v>*</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669009.00900900911</v>
          </cell>
          <cell r="AI865">
            <v>0</v>
          </cell>
          <cell r="AJ865">
            <v>0</v>
          </cell>
          <cell r="AK865">
            <v>0</v>
          </cell>
          <cell r="AL865">
            <v>0</v>
          </cell>
          <cell r="AM865">
            <v>0</v>
          </cell>
          <cell r="AN865">
            <v>0</v>
          </cell>
          <cell r="AO865">
            <v>0</v>
          </cell>
          <cell r="AP865">
            <v>0</v>
          </cell>
          <cell r="AQ865">
            <v>0</v>
          </cell>
          <cell r="AR865">
            <v>669009.00900900911</v>
          </cell>
          <cell r="AS865">
            <v>0</v>
          </cell>
        </row>
        <row r="866">
          <cell r="B866" t="str">
            <v>独立会所（综合楼）</v>
          </cell>
          <cell r="C866" t="str">
            <v>建筑面积</v>
          </cell>
          <cell r="D866" t="str">
            <v>m2</v>
          </cell>
          <cell r="E866">
            <v>0</v>
          </cell>
          <cell r="F866">
            <v>0</v>
          </cell>
          <cell r="G866">
            <v>0</v>
          </cell>
          <cell r="H866">
            <v>0</v>
          </cell>
          <cell r="I866">
            <v>0.10999999999999999</v>
          </cell>
          <cell r="J866">
            <v>0</v>
          </cell>
          <cell r="K866">
            <v>0</v>
          </cell>
          <cell r="L866">
            <v>0</v>
          </cell>
          <cell r="M866">
            <v>0</v>
          </cell>
          <cell r="O866" t="str">
            <v>*</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row>
        <row r="867">
          <cell r="B867" t="str">
            <v>活动中心</v>
          </cell>
          <cell r="C867" t="str">
            <v>建筑面积</v>
          </cell>
          <cell r="D867" t="str">
            <v>m2</v>
          </cell>
          <cell r="E867">
            <v>0</v>
          </cell>
          <cell r="F867">
            <v>0</v>
          </cell>
          <cell r="G867">
            <v>0</v>
          </cell>
          <cell r="H867">
            <v>0</v>
          </cell>
          <cell r="I867">
            <v>0.10999999999999999</v>
          </cell>
          <cell r="J867">
            <v>0</v>
          </cell>
          <cell r="K867">
            <v>0</v>
          </cell>
          <cell r="L867">
            <v>0</v>
          </cell>
          <cell r="M867">
            <v>0</v>
          </cell>
          <cell r="O867" t="str">
            <v>*</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row>
        <row r="868">
          <cell r="B868" t="str">
            <v>商贸市场</v>
          </cell>
          <cell r="C868" t="str">
            <v>建筑面积</v>
          </cell>
          <cell r="D868" t="str">
            <v>m2</v>
          </cell>
          <cell r="E868">
            <v>0</v>
          </cell>
          <cell r="F868">
            <v>0</v>
          </cell>
          <cell r="G868">
            <v>0</v>
          </cell>
          <cell r="H868">
            <v>0</v>
          </cell>
          <cell r="I868">
            <v>0.10999999999999999</v>
          </cell>
          <cell r="J868">
            <v>0</v>
          </cell>
          <cell r="K868">
            <v>0</v>
          </cell>
          <cell r="L868">
            <v>0</v>
          </cell>
          <cell r="M868">
            <v>0</v>
          </cell>
          <cell r="O868" t="str">
            <v>*</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row>
        <row r="869">
          <cell r="B869" t="str">
            <v>医院</v>
          </cell>
          <cell r="C869" t="str">
            <v>建筑面积</v>
          </cell>
          <cell r="D869" t="str">
            <v>m2</v>
          </cell>
          <cell r="E869">
            <v>0</v>
          </cell>
          <cell r="F869">
            <v>0</v>
          </cell>
          <cell r="G869">
            <v>0</v>
          </cell>
          <cell r="H869">
            <v>0</v>
          </cell>
          <cell r="I869">
            <v>0.10999999999999999</v>
          </cell>
          <cell r="J869">
            <v>0</v>
          </cell>
          <cell r="K869">
            <v>0</v>
          </cell>
          <cell r="L869">
            <v>0</v>
          </cell>
          <cell r="M869">
            <v>0</v>
          </cell>
          <cell r="O869" t="str">
            <v>*</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row>
        <row r="870">
          <cell r="B870" t="str">
            <v>幼儿园</v>
          </cell>
          <cell r="C870" t="str">
            <v>建筑面积</v>
          </cell>
          <cell r="D870" t="str">
            <v>m2</v>
          </cell>
          <cell r="E870">
            <v>0</v>
          </cell>
          <cell r="F870">
            <v>0</v>
          </cell>
          <cell r="G870">
            <v>0</v>
          </cell>
          <cell r="H870">
            <v>0</v>
          </cell>
          <cell r="I870">
            <v>0.10999999999999999</v>
          </cell>
          <cell r="J870">
            <v>0</v>
          </cell>
          <cell r="K870">
            <v>0</v>
          </cell>
          <cell r="L870">
            <v>0</v>
          </cell>
          <cell r="M870">
            <v>0</v>
          </cell>
          <cell r="O870" t="str">
            <v>*</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row>
        <row r="871">
          <cell r="B871" t="str">
            <v>学校</v>
          </cell>
          <cell r="C871" t="str">
            <v>建筑面积</v>
          </cell>
          <cell r="D871" t="str">
            <v>m2</v>
          </cell>
          <cell r="E871">
            <v>0</v>
          </cell>
          <cell r="F871">
            <v>0</v>
          </cell>
          <cell r="G871">
            <v>0</v>
          </cell>
          <cell r="H871">
            <v>0</v>
          </cell>
          <cell r="I871">
            <v>0.10999999999999999</v>
          </cell>
          <cell r="J871">
            <v>0</v>
          </cell>
          <cell r="K871">
            <v>0</v>
          </cell>
          <cell r="L871">
            <v>0</v>
          </cell>
          <cell r="M871">
            <v>0</v>
          </cell>
          <cell r="O871" t="str">
            <v>*</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row>
        <row r="872">
          <cell r="B872" t="str">
            <v>员工宿舍</v>
          </cell>
          <cell r="C872" t="str">
            <v>建筑面积</v>
          </cell>
          <cell r="D872" t="str">
            <v>m2</v>
          </cell>
          <cell r="E872">
            <v>0</v>
          </cell>
          <cell r="F872">
            <v>0</v>
          </cell>
          <cell r="G872">
            <v>0</v>
          </cell>
          <cell r="H872">
            <v>0</v>
          </cell>
          <cell r="I872">
            <v>0.10999999999999999</v>
          </cell>
          <cell r="J872">
            <v>0</v>
          </cell>
          <cell r="K872">
            <v>0</v>
          </cell>
          <cell r="L872">
            <v>0</v>
          </cell>
          <cell r="M872">
            <v>0</v>
          </cell>
          <cell r="O872" t="str">
            <v>*</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row>
        <row r="873">
          <cell r="A873" t="str">
            <v>03.03.01.03</v>
          </cell>
          <cell r="B873" t="str">
            <v>消防系统</v>
          </cell>
          <cell r="C873" t="str">
            <v>建筑面积</v>
          </cell>
          <cell r="D873" t="str">
            <v>m2</v>
          </cell>
          <cell r="E873">
            <v>241586.90000000002</v>
          </cell>
          <cell r="F873">
            <v>50.026146119677847</v>
          </cell>
          <cell r="G873">
            <v>12085661.560000001</v>
          </cell>
          <cell r="I873">
            <v>0.10999999999999985</v>
          </cell>
          <cell r="J873">
            <v>45.068600107817886</v>
          </cell>
          <cell r="K873">
            <v>4.9575460118599608</v>
          </cell>
          <cell r="L873">
            <v>10887983.387387389</v>
          </cell>
          <cell r="M873">
            <v>1197678.1726126112</v>
          </cell>
          <cell r="P873">
            <v>0</v>
          </cell>
          <cell r="Q873">
            <v>168189.1891891892</v>
          </cell>
          <cell r="R873">
            <v>14744.144144144146</v>
          </cell>
          <cell r="S873">
            <v>1626147.8918918918</v>
          </cell>
          <cell r="T873">
            <v>379916.7567567568</v>
          </cell>
          <cell r="U873">
            <v>0</v>
          </cell>
          <cell r="V873">
            <v>0</v>
          </cell>
          <cell r="W873">
            <v>0</v>
          </cell>
          <cell r="X873">
            <v>0</v>
          </cell>
          <cell r="Y873">
            <v>0</v>
          </cell>
          <cell r="Z873">
            <v>0</v>
          </cell>
          <cell r="AA873">
            <v>0</v>
          </cell>
          <cell r="AB873">
            <v>90090.090090090103</v>
          </cell>
          <cell r="AC873">
            <v>0</v>
          </cell>
          <cell r="AD873">
            <v>0</v>
          </cell>
          <cell r="AE873">
            <v>0</v>
          </cell>
          <cell r="AF873">
            <v>0</v>
          </cell>
          <cell r="AG873">
            <v>7677363.783783786</v>
          </cell>
          <cell r="AH873">
            <v>931531.5315315316</v>
          </cell>
          <cell r="AI873">
            <v>0</v>
          </cell>
          <cell r="AJ873">
            <v>0</v>
          </cell>
          <cell r="AK873">
            <v>0</v>
          </cell>
          <cell r="AL873">
            <v>0</v>
          </cell>
          <cell r="AM873">
            <v>0</v>
          </cell>
          <cell r="AN873">
            <v>0</v>
          </cell>
          <cell r="AO873">
            <v>0</v>
          </cell>
          <cell r="AP873">
            <v>0</v>
          </cell>
          <cell r="AQ873">
            <v>0</v>
          </cell>
          <cell r="AR873">
            <v>10887983.387387389</v>
          </cell>
          <cell r="AS873">
            <v>0</v>
          </cell>
        </row>
        <row r="874">
          <cell r="B874">
            <v>100</v>
          </cell>
          <cell r="C874" t="str">
            <v>建筑面积</v>
          </cell>
          <cell r="D874" t="str">
            <v>m2</v>
          </cell>
          <cell r="E874">
            <v>0</v>
          </cell>
          <cell r="F874">
            <v>0</v>
          </cell>
          <cell r="G874">
            <v>0</v>
          </cell>
          <cell r="H874">
            <v>0</v>
          </cell>
          <cell r="I874">
            <v>0.10999999999999999</v>
          </cell>
          <cell r="J874">
            <v>0</v>
          </cell>
          <cell r="K874">
            <v>0</v>
          </cell>
          <cell r="L874">
            <v>0</v>
          </cell>
          <cell r="M874">
            <v>0</v>
          </cell>
          <cell r="N874" t="str">
            <v>参考丽山项目单价按照5元/m2考虑</v>
          </cell>
          <cell r="O874" t="str">
            <v>*</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row>
        <row r="875">
          <cell r="B875">
            <v>125</v>
          </cell>
          <cell r="C875" t="str">
            <v>建筑面积</v>
          </cell>
          <cell r="D875" t="str">
            <v>m2</v>
          </cell>
          <cell r="E875">
            <v>26670</v>
          </cell>
          <cell r="F875">
            <v>7</v>
          </cell>
          <cell r="G875">
            <v>186690</v>
          </cell>
          <cell r="H875">
            <v>0</v>
          </cell>
          <cell r="I875">
            <v>0.10999999999999999</v>
          </cell>
          <cell r="J875">
            <v>6.3063063063063067</v>
          </cell>
          <cell r="K875">
            <v>0.69369369369369327</v>
          </cell>
          <cell r="L875">
            <v>168189.1891891892</v>
          </cell>
          <cell r="M875">
            <v>18500.810810810799</v>
          </cell>
          <cell r="O875" t="str">
            <v>*</v>
          </cell>
          <cell r="P875">
            <v>0</v>
          </cell>
          <cell r="Q875">
            <v>168189.1891891892</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168189.1891891892</v>
          </cell>
          <cell r="AS875">
            <v>0</v>
          </cell>
        </row>
        <row r="876">
          <cell r="B876">
            <v>150</v>
          </cell>
          <cell r="C876" t="str">
            <v>建筑面积</v>
          </cell>
          <cell r="D876" t="str">
            <v>m2</v>
          </cell>
          <cell r="E876">
            <v>2338</v>
          </cell>
          <cell r="F876">
            <v>7</v>
          </cell>
          <cell r="G876">
            <v>16366</v>
          </cell>
          <cell r="H876">
            <v>0</v>
          </cell>
          <cell r="I876">
            <v>0.10999999999999999</v>
          </cell>
          <cell r="J876">
            <v>6.3063063063063067</v>
          </cell>
          <cell r="K876">
            <v>0.69369369369369327</v>
          </cell>
          <cell r="L876">
            <v>14744.144144144146</v>
          </cell>
          <cell r="M876">
            <v>1621.8558558558543</v>
          </cell>
          <cell r="N876" t="str">
            <v>参考丽山项目单价按照5元/m2考虑</v>
          </cell>
          <cell r="O876" t="str">
            <v>*</v>
          </cell>
          <cell r="P876">
            <v>0</v>
          </cell>
          <cell r="Q876">
            <v>0</v>
          </cell>
          <cell r="R876">
            <v>14744.144144144146</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14744.144144144146</v>
          </cell>
          <cell r="AS876">
            <v>0</v>
          </cell>
        </row>
        <row r="877">
          <cell r="B877" t="str">
            <v>1T4(30F)</v>
          </cell>
          <cell r="C877" t="str">
            <v>建筑面积</v>
          </cell>
          <cell r="D877" t="str">
            <v>m2</v>
          </cell>
          <cell r="E877">
            <v>100279.12</v>
          </cell>
          <cell r="F877">
            <v>18</v>
          </cell>
          <cell r="G877">
            <v>1805024.16</v>
          </cell>
          <cell r="H877">
            <v>0</v>
          </cell>
          <cell r="I877">
            <v>0.10999999999999999</v>
          </cell>
          <cell r="J877">
            <v>16.216216216216218</v>
          </cell>
          <cell r="K877">
            <v>1.7837837837837824</v>
          </cell>
          <cell r="L877">
            <v>1626147.8918918918</v>
          </cell>
          <cell r="M877">
            <v>178876.26810810808</v>
          </cell>
          <cell r="O877" t="str">
            <v>*</v>
          </cell>
          <cell r="P877">
            <v>0</v>
          </cell>
          <cell r="Q877">
            <v>0</v>
          </cell>
          <cell r="R877">
            <v>0</v>
          </cell>
          <cell r="S877">
            <v>1626147.8918918918</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1626147.8918918918</v>
          </cell>
          <cell r="AS877">
            <v>0</v>
          </cell>
        </row>
        <row r="878">
          <cell r="B878" t="str">
            <v>1T3(30F)</v>
          </cell>
          <cell r="C878" t="str">
            <v>建筑面积</v>
          </cell>
          <cell r="D878" t="str">
            <v>m2</v>
          </cell>
          <cell r="E878">
            <v>23428.2</v>
          </cell>
          <cell r="F878">
            <v>18</v>
          </cell>
          <cell r="G878">
            <v>421707.60000000003</v>
          </cell>
          <cell r="H878">
            <v>0</v>
          </cell>
          <cell r="I878">
            <v>0.10999999999999999</v>
          </cell>
          <cell r="J878">
            <v>16.216216216216218</v>
          </cell>
          <cell r="K878">
            <v>1.7837837837837824</v>
          </cell>
          <cell r="L878">
            <v>379916.7567567568</v>
          </cell>
          <cell r="M878">
            <v>41790.843243243231</v>
          </cell>
          <cell r="N878" t="str">
            <v>参考丽山项目单价按照5元/m2考虑</v>
          </cell>
          <cell r="O878" t="str">
            <v>*</v>
          </cell>
          <cell r="P878">
            <v>0</v>
          </cell>
          <cell r="Q878">
            <v>0</v>
          </cell>
          <cell r="R878">
            <v>0</v>
          </cell>
          <cell r="S878">
            <v>0</v>
          </cell>
          <cell r="T878">
            <v>379916.7567567568</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379916.7567567568</v>
          </cell>
          <cell r="AS878">
            <v>0</v>
          </cell>
        </row>
        <row r="879">
          <cell r="B879" t="str">
            <v>LOFT(31F)</v>
          </cell>
          <cell r="C879" t="str">
            <v>建筑面积</v>
          </cell>
          <cell r="D879" t="str">
            <v>m2</v>
          </cell>
          <cell r="E879">
            <v>0</v>
          </cell>
          <cell r="F879">
            <v>0</v>
          </cell>
          <cell r="G879">
            <v>0</v>
          </cell>
          <cell r="H879">
            <v>0</v>
          </cell>
          <cell r="I879">
            <v>0.10999999999999999</v>
          </cell>
          <cell r="J879">
            <v>0</v>
          </cell>
          <cell r="K879">
            <v>0</v>
          </cell>
          <cell r="L879">
            <v>0</v>
          </cell>
          <cell r="M879">
            <v>0</v>
          </cell>
          <cell r="O879" t="str">
            <v>*</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row>
        <row r="880">
          <cell r="B880" t="str">
            <v>1T2(31F)</v>
          </cell>
          <cell r="C880" t="str">
            <v>建筑面积</v>
          </cell>
          <cell r="D880" t="str">
            <v>m2</v>
          </cell>
          <cell r="E880">
            <v>0</v>
          </cell>
          <cell r="F880">
            <v>0</v>
          </cell>
          <cell r="H880">
            <v>0</v>
          </cell>
          <cell r="I880">
            <v>0.10999999999999999</v>
          </cell>
          <cell r="J880">
            <v>0</v>
          </cell>
          <cell r="K880">
            <v>0</v>
          </cell>
          <cell r="O880" t="str">
            <v>*</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row>
        <row r="881">
          <cell r="B881" t="str">
            <v>1T8(32F)</v>
          </cell>
          <cell r="C881" t="str">
            <v>建筑面积</v>
          </cell>
          <cell r="D881" t="str">
            <v>m2</v>
          </cell>
          <cell r="E881">
            <v>0</v>
          </cell>
          <cell r="F881">
            <v>0</v>
          </cell>
          <cell r="G881">
            <v>0</v>
          </cell>
          <cell r="H881">
            <v>0</v>
          </cell>
          <cell r="I881">
            <v>0.10999999999999999</v>
          </cell>
          <cell r="J881">
            <v>0</v>
          </cell>
          <cell r="K881">
            <v>0</v>
          </cell>
          <cell r="L881">
            <v>0</v>
          </cell>
          <cell r="M881">
            <v>0</v>
          </cell>
          <cell r="O881" t="str">
            <v>*</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row>
        <row r="882">
          <cell r="B882" t="str">
            <v>中高层洋房</v>
          </cell>
          <cell r="C882" t="str">
            <v>建筑面积</v>
          </cell>
          <cell r="D882" t="str">
            <v>m2</v>
          </cell>
          <cell r="E882">
            <v>0</v>
          </cell>
          <cell r="F882">
            <v>0</v>
          </cell>
          <cell r="G882">
            <v>0</v>
          </cell>
          <cell r="H882">
            <v>0</v>
          </cell>
          <cell r="I882">
            <v>0.10999999999999999</v>
          </cell>
          <cell r="J882">
            <v>0</v>
          </cell>
          <cell r="K882">
            <v>0</v>
          </cell>
          <cell r="L882">
            <v>0</v>
          </cell>
          <cell r="M882">
            <v>0</v>
          </cell>
          <cell r="O882" t="str">
            <v>*</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row>
        <row r="883">
          <cell r="B883" t="str">
            <v>115高层洋房</v>
          </cell>
          <cell r="C883" t="str">
            <v>建筑面积</v>
          </cell>
          <cell r="D883" t="str">
            <v>m2</v>
          </cell>
          <cell r="E883">
            <v>0</v>
          </cell>
          <cell r="F883">
            <v>0</v>
          </cell>
          <cell r="G883">
            <v>0</v>
          </cell>
          <cell r="H883">
            <v>0</v>
          </cell>
          <cell r="I883">
            <v>0.10999999999999999</v>
          </cell>
          <cell r="J883">
            <v>0</v>
          </cell>
          <cell r="K883">
            <v>0</v>
          </cell>
          <cell r="L883">
            <v>0</v>
          </cell>
          <cell r="M883">
            <v>0</v>
          </cell>
          <cell r="N883" t="str">
            <v>参考黄埠项目集团审核价及按已确定结算原则上浮后单方造价约80元/m2,按比例拆分消防18元/m2</v>
          </cell>
          <cell r="O883" t="str">
            <v>*</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row>
        <row r="884">
          <cell r="B884" t="str">
            <v>超高层洋房</v>
          </cell>
          <cell r="C884" t="str">
            <v>建筑面积</v>
          </cell>
          <cell r="D884" t="str">
            <v>m2</v>
          </cell>
          <cell r="E884">
            <v>0</v>
          </cell>
          <cell r="F884">
            <v>0</v>
          </cell>
          <cell r="G884">
            <v>0</v>
          </cell>
          <cell r="H884">
            <v>0</v>
          </cell>
          <cell r="I884">
            <v>0.10999999999999999</v>
          </cell>
          <cell r="J884">
            <v>0</v>
          </cell>
          <cell r="K884">
            <v>0</v>
          </cell>
          <cell r="L884">
            <v>0</v>
          </cell>
          <cell r="M884">
            <v>0</v>
          </cell>
          <cell r="O884" t="str">
            <v>*</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row>
        <row r="885">
          <cell r="B885" t="str">
            <v>公寓</v>
          </cell>
          <cell r="C885" t="str">
            <v>建筑面积</v>
          </cell>
          <cell r="D885" t="str">
            <v>m2</v>
          </cell>
          <cell r="E885">
            <v>0</v>
          </cell>
          <cell r="F885">
            <v>0</v>
          </cell>
          <cell r="G885">
            <v>0</v>
          </cell>
          <cell r="H885">
            <v>0</v>
          </cell>
          <cell r="I885">
            <v>0.10999999999999999</v>
          </cell>
          <cell r="J885">
            <v>0</v>
          </cell>
          <cell r="K885">
            <v>0</v>
          </cell>
          <cell r="L885">
            <v>0</v>
          </cell>
          <cell r="M885">
            <v>0</v>
          </cell>
          <cell r="O885" t="str">
            <v>*</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row>
        <row r="886">
          <cell r="B886" t="str">
            <v>底商</v>
          </cell>
          <cell r="C886" t="str">
            <v>建筑面积</v>
          </cell>
          <cell r="D886" t="str">
            <v>m2</v>
          </cell>
          <cell r="E886">
            <v>2000</v>
          </cell>
          <cell r="F886">
            <v>50</v>
          </cell>
          <cell r="G886">
            <v>100000</v>
          </cell>
          <cell r="H886">
            <v>0</v>
          </cell>
          <cell r="I886">
            <v>0.10999999999999999</v>
          </cell>
          <cell r="J886">
            <v>45.04504504504505</v>
          </cell>
          <cell r="K886">
            <v>4.9549549549549496</v>
          </cell>
          <cell r="L886">
            <v>90090.090090090103</v>
          </cell>
          <cell r="M886">
            <v>9909.9099099098967</v>
          </cell>
          <cell r="O886" t="str">
            <v>*</v>
          </cell>
          <cell r="P886">
            <v>0</v>
          </cell>
          <cell r="Q886">
            <v>0</v>
          </cell>
          <cell r="R886">
            <v>0</v>
          </cell>
          <cell r="S886">
            <v>0</v>
          </cell>
          <cell r="T886">
            <v>0</v>
          </cell>
          <cell r="U886">
            <v>0</v>
          </cell>
          <cell r="V886">
            <v>0</v>
          </cell>
          <cell r="W886">
            <v>0</v>
          </cell>
          <cell r="X886">
            <v>0</v>
          </cell>
          <cell r="Y886">
            <v>0</v>
          </cell>
          <cell r="Z886">
            <v>0</v>
          </cell>
          <cell r="AA886">
            <v>0</v>
          </cell>
          <cell r="AB886">
            <v>90090.090090090103</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90090.090090090103</v>
          </cell>
          <cell r="AS886">
            <v>0</v>
          </cell>
        </row>
        <row r="887">
          <cell r="B887" t="str">
            <v>商业街</v>
          </cell>
          <cell r="C887" t="str">
            <v>建筑面积</v>
          </cell>
          <cell r="D887" t="str">
            <v>m2</v>
          </cell>
          <cell r="E887">
            <v>0</v>
          </cell>
          <cell r="F887">
            <v>0</v>
          </cell>
          <cell r="G887">
            <v>0</v>
          </cell>
          <cell r="H887">
            <v>0</v>
          </cell>
          <cell r="I887">
            <v>0.10999999999999999</v>
          </cell>
          <cell r="J887">
            <v>0</v>
          </cell>
          <cell r="K887">
            <v>0</v>
          </cell>
          <cell r="L887">
            <v>0</v>
          </cell>
          <cell r="M887">
            <v>0</v>
          </cell>
          <cell r="O887" t="str">
            <v>*</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row>
        <row r="888">
          <cell r="B888" t="str">
            <v>综合楼</v>
          </cell>
          <cell r="C888" t="str">
            <v>建筑面积</v>
          </cell>
          <cell r="D888" t="str">
            <v>m2</v>
          </cell>
          <cell r="E888">
            <v>0</v>
          </cell>
          <cell r="F888">
            <v>0</v>
          </cell>
          <cell r="G888">
            <v>0</v>
          </cell>
          <cell r="H888">
            <v>0</v>
          </cell>
          <cell r="I888">
            <v>0.10999999999999999</v>
          </cell>
          <cell r="J888">
            <v>0</v>
          </cell>
          <cell r="K888">
            <v>0</v>
          </cell>
          <cell r="L888">
            <v>0</v>
          </cell>
          <cell r="M888">
            <v>0</v>
          </cell>
          <cell r="O888" t="str">
            <v>*</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row>
        <row r="889">
          <cell r="B889" t="str">
            <v>写字楼</v>
          </cell>
          <cell r="C889" t="str">
            <v>建筑面积</v>
          </cell>
          <cell r="D889" t="str">
            <v>m2</v>
          </cell>
          <cell r="E889">
            <v>0</v>
          </cell>
          <cell r="F889">
            <v>0</v>
          </cell>
          <cell r="G889">
            <v>0</v>
          </cell>
          <cell r="H889">
            <v>0</v>
          </cell>
          <cell r="I889">
            <v>0.10999999999999999</v>
          </cell>
          <cell r="J889">
            <v>0</v>
          </cell>
          <cell r="K889">
            <v>0</v>
          </cell>
          <cell r="L889">
            <v>0</v>
          </cell>
          <cell r="M889">
            <v>0</v>
          </cell>
          <cell r="O889" t="str">
            <v>*</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row>
        <row r="890">
          <cell r="B890" t="str">
            <v>酒店</v>
          </cell>
          <cell r="C890" t="str">
            <v>建筑面积</v>
          </cell>
          <cell r="D890" t="str">
            <v>m2</v>
          </cell>
          <cell r="E890">
            <v>0</v>
          </cell>
          <cell r="F890">
            <v>0</v>
          </cell>
          <cell r="G890">
            <v>0</v>
          </cell>
          <cell r="H890">
            <v>0</v>
          </cell>
          <cell r="I890">
            <v>0.10999999999999999</v>
          </cell>
          <cell r="J890">
            <v>0</v>
          </cell>
          <cell r="K890">
            <v>0</v>
          </cell>
          <cell r="L890">
            <v>0</v>
          </cell>
          <cell r="M890">
            <v>0</v>
          </cell>
          <cell r="O890" t="str">
            <v>*</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row>
        <row r="891">
          <cell r="B891" t="str">
            <v>医院（自持）</v>
          </cell>
          <cell r="C891" t="str">
            <v>建筑面积</v>
          </cell>
          <cell r="D891" t="str">
            <v>m2</v>
          </cell>
          <cell r="E891">
            <v>0</v>
          </cell>
          <cell r="F891">
            <v>0</v>
          </cell>
          <cell r="G891">
            <v>0</v>
          </cell>
          <cell r="H891">
            <v>0</v>
          </cell>
          <cell r="I891">
            <v>0.10999999999999999</v>
          </cell>
          <cell r="J891">
            <v>0</v>
          </cell>
          <cell r="K891">
            <v>0</v>
          </cell>
          <cell r="L891">
            <v>0</v>
          </cell>
          <cell r="M891">
            <v>0</v>
          </cell>
          <cell r="O891" t="str">
            <v>*</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row>
        <row r="892">
          <cell r="B892" t="str">
            <v>地上计容车库</v>
          </cell>
          <cell r="C892" t="str">
            <v>建筑面积</v>
          </cell>
          <cell r="D892" t="str">
            <v>m2</v>
          </cell>
          <cell r="E892">
            <v>0</v>
          </cell>
          <cell r="F892">
            <v>0</v>
          </cell>
          <cell r="G892">
            <v>0</v>
          </cell>
          <cell r="H892">
            <v>0</v>
          </cell>
          <cell r="I892">
            <v>0.10999999999999999</v>
          </cell>
          <cell r="J892">
            <v>0</v>
          </cell>
          <cell r="K892">
            <v>0</v>
          </cell>
          <cell r="L892">
            <v>0</v>
          </cell>
          <cell r="M892">
            <v>0</v>
          </cell>
          <cell r="O892" t="str">
            <v>*</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row>
        <row r="893">
          <cell r="B893" t="str">
            <v>非人防地下室</v>
          </cell>
          <cell r="C893" t="str">
            <v>建筑面积</v>
          </cell>
          <cell r="D893" t="str">
            <v>m2</v>
          </cell>
          <cell r="E893">
            <v>77471.58</v>
          </cell>
          <cell r="F893">
            <v>110.00000000000001</v>
          </cell>
          <cell r="G893">
            <v>8521873.8000000007</v>
          </cell>
          <cell r="H893">
            <v>0</v>
          </cell>
          <cell r="I893">
            <v>0.10999999999999999</v>
          </cell>
          <cell r="J893">
            <v>99.099099099099121</v>
          </cell>
          <cell r="K893">
            <v>10.900900900900893</v>
          </cell>
          <cell r="L893">
            <v>7677363.783783786</v>
          </cell>
          <cell r="M893">
            <v>844510.01621621475</v>
          </cell>
          <cell r="O893" t="str">
            <v>*</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7677363.783783786</v>
          </cell>
          <cell r="AH893">
            <v>0</v>
          </cell>
          <cell r="AI893">
            <v>0</v>
          </cell>
          <cell r="AJ893">
            <v>0</v>
          </cell>
          <cell r="AK893">
            <v>0</v>
          </cell>
          <cell r="AL893">
            <v>0</v>
          </cell>
          <cell r="AM893">
            <v>0</v>
          </cell>
          <cell r="AN893">
            <v>0</v>
          </cell>
          <cell r="AO893">
            <v>0</v>
          </cell>
          <cell r="AP893">
            <v>0</v>
          </cell>
          <cell r="AQ893">
            <v>0</v>
          </cell>
          <cell r="AR893">
            <v>7677363.783783786</v>
          </cell>
          <cell r="AS893">
            <v>0</v>
          </cell>
        </row>
        <row r="894">
          <cell r="B894" t="str">
            <v>人防地下室</v>
          </cell>
          <cell r="C894" t="str">
            <v>建筑面积</v>
          </cell>
          <cell r="D894" t="str">
            <v>m2</v>
          </cell>
          <cell r="E894">
            <v>9400</v>
          </cell>
          <cell r="F894">
            <v>110</v>
          </cell>
          <cell r="G894">
            <v>1034000</v>
          </cell>
          <cell r="H894">
            <v>0</v>
          </cell>
          <cell r="I894">
            <v>0.10999999999999999</v>
          </cell>
          <cell r="J894">
            <v>99.099099099099107</v>
          </cell>
          <cell r="K894">
            <v>10.900900900900893</v>
          </cell>
          <cell r="L894">
            <v>931531.5315315316</v>
          </cell>
          <cell r="M894">
            <v>102468.4684684684</v>
          </cell>
          <cell r="O894" t="str">
            <v>*</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931531.5315315316</v>
          </cell>
          <cell r="AI894">
            <v>0</v>
          </cell>
          <cell r="AJ894">
            <v>0</v>
          </cell>
          <cell r="AK894">
            <v>0</v>
          </cell>
          <cell r="AL894">
            <v>0</v>
          </cell>
          <cell r="AM894">
            <v>0</v>
          </cell>
          <cell r="AN894">
            <v>0</v>
          </cell>
          <cell r="AO894">
            <v>0</v>
          </cell>
          <cell r="AP894">
            <v>0</v>
          </cell>
          <cell r="AQ894">
            <v>0</v>
          </cell>
          <cell r="AR894">
            <v>931531.5315315316</v>
          </cell>
          <cell r="AS894">
            <v>0</v>
          </cell>
        </row>
        <row r="895">
          <cell r="B895" t="str">
            <v>独立会所（综合楼）</v>
          </cell>
          <cell r="C895" t="str">
            <v>建筑面积</v>
          </cell>
          <cell r="D895" t="str">
            <v>m2</v>
          </cell>
          <cell r="E895">
            <v>0</v>
          </cell>
          <cell r="F895">
            <v>0</v>
          </cell>
          <cell r="G895">
            <v>0</v>
          </cell>
          <cell r="H895">
            <v>0</v>
          </cell>
          <cell r="I895">
            <v>0.10999999999999999</v>
          </cell>
          <cell r="J895">
            <v>0</v>
          </cell>
          <cell r="K895">
            <v>0</v>
          </cell>
          <cell r="L895">
            <v>0</v>
          </cell>
          <cell r="M895">
            <v>0</v>
          </cell>
          <cell r="O895" t="str">
            <v>*</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row>
        <row r="896">
          <cell r="B896" t="str">
            <v>活动中心</v>
          </cell>
          <cell r="C896" t="str">
            <v>建筑面积</v>
          </cell>
          <cell r="D896" t="str">
            <v>m2</v>
          </cell>
          <cell r="E896">
            <v>0</v>
          </cell>
          <cell r="F896">
            <v>0</v>
          </cell>
          <cell r="G896">
            <v>0</v>
          </cell>
          <cell r="H896">
            <v>0</v>
          </cell>
          <cell r="I896">
            <v>0.10999999999999999</v>
          </cell>
          <cell r="J896">
            <v>0</v>
          </cell>
          <cell r="K896">
            <v>0</v>
          </cell>
          <cell r="L896">
            <v>0</v>
          </cell>
          <cell r="M896">
            <v>0</v>
          </cell>
          <cell r="O896" t="str">
            <v>*</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row>
        <row r="897">
          <cell r="B897" t="str">
            <v>商贸市场</v>
          </cell>
          <cell r="C897" t="str">
            <v>建筑面积</v>
          </cell>
          <cell r="D897" t="str">
            <v>m2</v>
          </cell>
          <cell r="E897">
            <v>0</v>
          </cell>
          <cell r="F897">
            <v>0</v>
          </cell>
          <cell r="G897">
            <v>0</v>
          </cell>
          <cell r="H897">
            <v>0</v>
          </cell>
          <cell r="I897">
            <v>0.10999999999999999</v>
          </cell>
          <cell r="J897">
            <v>0</v>
          </cell>
          <cell r="K897">
            <v>0</v>
          </cell>
          <cell r="L897">
            <v>0</v>
          </cell>
          <cell r="M897">
            <v>0</v>
          </cell>
          <cell r="O897" t="str">
            <v>*</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row>
        <row r="898">
          <cell r="B898" t="str">
            <v>医院</v>
          </cell>
          <cell r="C898" t="str">
            <v>建筑面积</v>
          </cell>
          <cell r="D898" t="str">
            <v>m2</v>
          </cell>
          <cell r="E898">
            <v>0</v>
          </cell>
          <cell r="F898">
            <v>0</v>
          </cell>
          <cell r="G898">
            <v>0</v>
          </cell>
          <cell r="H898">
            <v>0</v>
          </cell>
          <cell r="I898">
            <v>0.10999999999999999</v>
          </cell>
          <cell r="J898">
            <v>0</v>
          </cell>
          <cell r="K898">
            <v>0</v>
          </cell>
          <cell r="L898">
            <v>0</v>
          </cell>
          <cell r="M898">
            <v>0</v>
          </cell>
          <cell r="O898" t="str">
            <v>*</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row>
        <row r="899">
          <cell r="B899" t="str">
            <v>幼儿园</v>
          </cell>
          <cell r="C899" t="str">
            <v>建筑面积</v>
          </cell>
          <cell r="D899" t="str">
            <v>m2</v>
          </cell>
          <cell r="E899">
            <v>0</v>
          </cell>
          <cell r="F899">
            <v>0</v>
          </cell>
          <cell r="G899">
            <v>0</v>
          </cell>
          <cell r="H899">
            <v>0</v>
          </cell>
          <cell r="I899">
            <v>0.10999999999999999</v>
          </cell>
          <cell r="J899">
            <v>0</v>
          </cell>
          <cell r="K899">
            <v>0</v>
          </cell>
          <cell r="L899">
            <v>0</v>
          </cell>
          <cell r="M899">
            <v>0</v>
          </cell>
          <cell r="O899" t="str">
            <v>*</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row>
        <row r="900">
          <cell r="B900" t="str">
            <v>学校</v>
          </cell>
          <cell r="C900" t="str">
            <v>建筑面积</v>
          </cell>
          <cell r="D900" t="str">
            <v>m2</v>
          </cell>
          <cell r="E900">
            <v>0</v>
          </cell>
          <cell r="F900">
            <v>0</v>
          </cell>
          <cell r="G900">
            <v>0</v>
          </cell>
          <cell r="H900">
            <v>0</v>
          </cell>
          <cell r="I900">
            <v>0.10999999999999999</v>
          </cell>
          <cell r="J900">
            <v>0</v>
          </cell>
          <cell r="K900">
            <v>0</v>
          </cell>
          <cell r="L900">
            <v>0</v>
          </cell>
          <cell r="M900">
            <v>0</v>
          </cell>
          <cell r="O900" t="str">
            <v>*</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row>
        <row r="901">
          <cell r="B901" t="str">
            <v>员工宿舍</v>
          </cell>
          <cell r="C901" t="str">
            <v>建筑面积</v>
          </cell>
          <cell r="D901" t="str">
            <v>m2</v>
          </cell>
          <cell r="E901">
            <v>0</v>
          </cell>
          <cell r="F901">
            <v>0</v>
          </cell>
          <cell r="G901">
            <v>0</v>
          </cell>
          <cell r="H901">
            <v>0</v>
          </cell>
          <cell r="I901">
            <v>0.10999999999999999</v>
          </cell>
          <cell r="J901">
            <v>0</v>
          </cell>
          <cell r="K901">
            <v>0</v>
          </cell>
          <cell r="L901">
            <v>0</v>
          </cell>
          <cell r="M901">
            <v>0</v>
          </cell>
          <cell r="O901" t="str">
            <v>*</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row>
        <row r="902">
          <cell r="A902" t="str">
            <v>03.03.01.04</v>
          </cell>
          <cell r="B902" t="str">
            <v>通风空调</v>
          </cell>
          <cell r="C902" t="str">
            <v>建筑面积</v>
          </cell>
          <cell r="D902" t="str">
            <v>m2</v>
          </cell>
          <cell r="E902">
            <v>241586.90000000002</v>
          </cell>
          <cell r="F902">
            <v>25.171110685223411</v>
          </cell>
          <cell r="G902">
            <v>6081010.6000000006</v>
          </cell>
          <cell r="I902">
            <v>0.11000000000000008</v>
          </cell>
          <cell r="J902">
            <v>22.676676292994063</v>
          </cell>
          <cell r="K902">
            <v>2.4944343922293477</v>
          </cell>
          <cell r="L902">
            <v>5478387.927927928</v>
          </cell>
          <cell r="M902">
            <v>602622.67207207251</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4885595.1351351356</v>
          </cell>
          <cell r="AH902">
            <v>592792.7927927929</v>
          </cell>
          <cell r="AI902">
            <v>0</v>
          </cell>
          <cell r="AJ902">
            <v>0</v>
          </cell>
          <cell r="AK902">
            <v>0</v>
          </cell>
          <cell r="AL902">
            <v>0</v>
          </cell>
          <cell r="AM902">
            <v>0</v>
          </cell>
          <cell r="AN902">
            <v>0</v>
          </cell>
          <cell r="AO902">
            <v>0</v>
          </cell>
          <cell r="AP902">
            <v>0</v>
          </cell>
          <cell r="AQ902">
            <v>0</v>
          </cell>
          <cell r="AR902">
            <v>5478387.927927928</v>
          </cell>
          <cell r="AS902">
            <v>0</v>
          </cell>
        </row>
        <row r="903">
          <cell r="B903">
            <v>100</v>
          </cell>
          <cell r="C903" t="str">
            <v>建筑面积</v>
          </cell>
          <cell r="D903" t="str">
            <v>m2</v>
          </cell>
          <cell r="E903">
            <v>0</v>
          </cell>
          <cell r="F903">
            <v>0</v>
          </cell>
          <cell r="G903">
            <v>0</v>
          </cell>
          <cell r="H903">
            <v>0</v>
          </cell>
          <cell r="I903">
            <v>0.10999999999999999</v>
          </cell>
          <cell r="J903">
            <v>0</v>
          </cell>
          <cell r="K903">
            <v>0</v>
          </cell>
          <cell r="L903">
            <v>0</v>
          </cell>
          <cell r="M903">
            <v>0</v>
          </cell>
          <cell r="O903" t="str">
            <v>*</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row>
        <row r="904">
          <cell r="B904">
            <v>125</v>
          </cell>
          <cell r="C904" t="str">
            <v>建筑面积</v>
          </cell>
          <cell r="D904" t="str">
            <v>m2</v>
          </cell>
          <cell r="E904">
            <v>26670</v>
          </cell>
          <cell r="F904">
            <v>0</v>
          </cell>
          <cell r="G904">
            <v>0</v>
          </cell>
          <cell r="H904">
            <v>0</v>
          </cell>
          <cell r="I904">
            <v>0.10999999999999999</v>
          </cell>
          <cell r="J904">
            <v>0</v>
          </cell>
          <cell r="K904">
            <v>0</v>
          </cell>
          <cell r="L904">
            <v>0</v>
          </cell>
          <cell r="M904">
            <v>0</v>
          </cell>
          <cell r="O904" t="str">
            <v>*</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row>
        <row r="905">
          <cell r="B905">
            <v>150</v>
          </cell>
          <cell r="C905" t="str">
            <v>建筑面积</v>
          </cell>
          <cell r="D905" t="str">
            <v>m2</v>
          </cell>
          <cell r="E905">
            <v>2338</v>
          </cell>
          <cell r="F905">
            <v>0</v>
          </cell>
          <cell r="G905">
            <v>0</v>
          </cell>
          <cell r="H905">
            <v>0</v>
          </cell>
          <cell r="I905">
            <v>0.10999999999999999</v>
          </cell>
          <cell r="J905">
            <v>0</v>
          </cell>
          <cell r="K905">
            <v>0</v>
          </cell>
          <cell r="L905">
            <v>0</v>
          </cell>
          <cell r="M905">
            <v>0</v>
          </cell>
          <cell r="O905" t="str">
            <v>*</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row>
        <row r="906">
          <cell r="B906" t="str">
            <v>1T4(30F)</v>
          </cell>
          <cell r="C906" t="str">
            <v>建筑面积</v>
          </cell>
          <cell r="D906" t="str">
            <v>m2</v>
          </cell>
          <cell r="E906">
            <v>100279.12</v>
          </cell>
          <cell r="F906">
            <v>0</v>
          </cell>
          <cell r="G906">
            <v>0</v>
          </cell>
          <cell r="H906">
            <v>0</v>
          </cell>
          <cell r="I906">
            <v>0.10999999999999999</v>
          </cell>
          <cell r="J906">
            <v>0</v>
          </cell>
          <cell r="K906">
            <v>0</v>
          </cell>
          <cell r="L906">
            <v>0</v>
          </cell>
          <cell r="M906">
            <v>0</v>
          </cell>
          <cell r="O906" t="str">
            <v>*</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row>
        <row r="907">
          <cell r="B907" t="str">
            <v>1T3(30F)</v>
          </cell>
          <cell r="C907" t="str">
            <v>建筑面积</v>
          </cell>
          <cell r="D907" t="str">
            <v>m2</v>
          </cell>
          <cell r="E907">
            <v>23428.2</v>
          </cell>
          <cell r="F907">
            <v>0</v>
          </cell>
          <cell r="G907">
            <v>0</v>
          </cell>
          <cell r="H907">
            <v>0</v>
          </cell>
          <cell r="I907">
            <v>0.10999999999999999</v>
          </cell>
          <cell r="J907">
            <v>0</v>
          </cell>
          <cell r="K907">
            <v>0</v>
          </cell>
          <cell r="L907">
            <v>0</v>
          </cell>
          <cell r="M907">
            <v>0</v>
          </cell>
          <cell r="O907" t="str">
            <v>*</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row>
        <row r="908">
          <cell r="B908" t="str">
            <v>LOFT(31F)</v>
          </cell>
          <cell r="C908" t="str">
            <v>建筑面积</v>
          </cell>
          <cell r="D908" t="str">
            <v>m2</v>
          </cell>
          <cell r="E908">
            <v>0</v>
          </cell>
          <cell r="F908">
            <v>0</v>
          </cell>
          <cell r="G908">
            <v>0</v>
          </cell>
          <cell r="H908">
            <v>0</v>
          </cell>
          <cell r="I908">
            <v>0.10999999999999999</v>
          </cell>
          <cell r="J908">
            <v>0</v>
          </cell>
          <cell r="K908">
            <v>0</v>
          </cell>
          <cell r="L908">
            <v>0</v>
          </cell>
          <cell r="M908">
            <v>0</v>
          </cell>
          <cell r="O908" t="str">
            <v>*</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row>
        <row r="909">
          <cell r="B909" t="str">
            <v>1T2(31F)</v>
          </cell>
          <cell r="C909" t="str">
            <v>建筑面积</v>
          </cell>
          <cell r="D909" t="str">
            <v>m2</v>
          </cell>
          <cell r="E909">
            <v>0</v>
          </cell>
          <cell r="F909">
            <v>0</v>
          </cell>
          <cell r="G909">
            <v>0</v>
          </cell>
          <cell r="H909">
            <v>0</v>
          </cell>
          <cell r="I909">
            <v>0.10999999999999999</v>
          </cell>
          <cell r="J909">
            <v>0</v>
          </cell>
          <cell r="K909">
            <v>0</v>
          </cell>
          <cell r="L909">
            <v>0</v>
          </cell>
          <cell r="M909">
            <v>0</v>
          </cell>
          <cell r="O909" t="str">
            <v>*</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row>
        <row r="910">
          <cell r="B910" t="str">
            <v>1T8(32F)</v>
          </cell>
          <cell r="C910" t="str">
            <v>建筑面积</v>
          </cell>
          <cell r="D910" t="str">
            <v>m2</v>
          </cell>
          <cell r="E910">
            <v>0</v>
          </cell>
          <cell r="F910">
            <v>0</v>
          </cell>
          <cell r="G910">
            <v>0</v>
          </cell>
          <cell r="H910">
            <v>0</v>
          </cell>
          <cell r="I910">
            <v>0.10999999999999999</v>
          </cell>
          <cell r="J910">
            <v>0</v>
          </cell>
          <cell r="K910">
            <v>0</v>
          </cell>
          <cell r="L910">
            <v>0</v>
          </cell>
          <cell r="M910">
            <v>0</v>
          </cell>
          <cell r="O910" t="str">
            <v>*</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row>
        <row r="911">
          <cell r="B911" t="str">
            <v>中高层洋房</v>
          </cell>
          <cell r="C911" t="str">
            <v>建筑面积</v>
          </cell>
          <cell r="D911" t="str">
            <v>m2</v>
          </cell>
          <cell r="E911">
            <v>0</v>
          </cell>
          <cell r="F911">
            <v>0</v>
          </cell>
          <cell r="G911">
            <v>0</v>
          </cell>
          <cell r="H911">
            <v>0</v>
          </cell>
          <cell r="I911">
            <v>0.10999999999999999</v>
          </cell>
          <cell r="J911">
            <v>0</v>
          </cell>
          <cell r="K911">
            <v>0</v>
          </cell>
          <cell r="L911">
            <v>0</v>
          </cell>
          <cell r="M911">
            <v>0</v>
          </cell>
          <cell r="O911" t="str">
            <v>*</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row>
        <row r="912">
          <cell r="B912" t="str">
            <v>115高层洋房</v>
          </cell>
          <cell r="C912" t="str">
            <v>建筑面积</v>
          </cell>
          <cell r="D912" t="str">
            <v>m2</v>
          </cell>
          <cell r="E912">
            <v>0</v>
          </cell>
          <cell r="F912">
            <v>0</v>
          </cell>
          <cell r="G912">
            <v>0</v>
          </cell>
          <cell r="H912">
            <v>0</v>
          </cell>
          <cell r="I912">
            <v>0.10999999999999999</v>
          </cell>
          <cell r="J912">
            <v>0</v>
          </cell>
          <cell r="K912">
            <v>0</v>
          </cell>
          <cell r="L912">
            <v>0</v>
          </cell>
          <cell r="M912">
            <v>0</v>
          </cell>
          <cell r="O912" t="str">
            <v>*</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row>
        <row r="913">
          <cell r="B913" t="str">
            <v>超高层洋房</v>
          </cell>
          <cell r="C913" t="str">
            <v>建筑面积</v>
          </cell>
          <cell r="D913" t="str">
            <v>m2</v>
          </cell>
          <cell r="E913">
            <v>0</v>
          </cell>
          <cell r="F913">
            <v>0</v>
          </cell>
          <cell r="G913">
            <v>0</v>
          </cell>
          <cell r="H913">
            <v>0</v>
          </cell>
          <cell r="I913">
            <v>0.10999999999999999</v>
          </cell>
          <cell r="J913">
            <v>0</v>
          </cell>
          <cell r="K913">
            <v>0</v>
          </cell>
          <cell r="L913">
            <v>0</v>
          </cell>
          <cell r="M913">
            <v>0</v>
          </cell>
          <cell r="O913" t="str">
            <v>*</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row>
        <row r="914">
          <cell r="B914" t="str">
            <v>公寓</v>
          </cell>
          <cell r="C914" t="str">
            <v>建筑面积</v>
          </cell>
          <cell r="D914" t="str">
            <v>m2</v>
          </cell>
          <cell r="E914">
            <v>0</v>
          </cell>
          <cell r="F914">
            <v>0</v>
          </cell>
          <cell r="G914">
            <v>0</v>
          </cell>
          <cell r="H914">
            <v>0</v>
          </cell>
          <cell r="I914">
            <v>0.10999999999999999</v>
          </cell>
          <cell r="J914">
            <v>0</v>
          </cell>
          <cell r="K914">
            <v>0</v>
          </cell>
          <cell r="L914">
            <v>0</v>
          </cell>
          <cell r="M914">
            <v>0</v>
          </cell>
          <cell r="O914" t="str">
            <v>*</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row>
        <row r="915">
          <cell r="B915" t="str">
            <v>底商</v>
          </cell>
          <cell r="C915" t="str">
            <v>建筑面积</v>
          </cell>
          <cell r="D915" t="str">
            <v>m2</v>
          </cell>
          <cell r="E915">
            <v>2000</v>
          </cell>
          <cell r="F915">
            <v>0</v>
          </cell>
          <cell r="G915">
            <v>0</v>
          </cell>
          <cell r="H915">
            <v>0</v>
          </cell>
          <cell r="I915">
            <v>0.10999999999999999</v>
          </cell>
          <cell r="J915">
            <v>0</v>
          </cell>
          <cell r="K915">
            <v>0</v>
          </cell>
          <cell r="L915">
            <v>0</v>
          </cell>
          <cell r="M915">
            <v>0</v>
          </cell>
          <cell r="O915" t="str">
            <v>*</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row>
        <row r="916">
          <cell r="B916" t="str">
            <v>商业街</v>
          </cell>
          <cell r="C916" t="str">
            <v>建筑面积</v>
          </cell>
          <cell r="D916" t="str">
            <v>m2</v>
          </cell>
          <cell r="E916">
            <v>0</v>
          </cell>
          <cell r="F916">
            <v>0</v>
          </cell>
          <cell r="G916">
            <v>0</v>
          </cell>
          <cell r="H916">
            <v>0</v>
          </cell>
          <cell r="I916">
            <v>0.10999999999999999</v>
          </cell>
          <cell r="J916">
            <v>0</v>
          </cell>
          <cell r="K916">
            <v>0</v>
          </cell>
          <cell r="L916">
            <v>0</v>
          </cell>
          <cell r="M916">
            <v>0</v>
          </cell>
          <cell r="O916" t="str">
            <v>*</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row>
        <row r="917">
          <cell r="B917" t="str">
            <v>综合楼</v>
          </cell>
          <cell r="C917" t="str">
            <v>建筑面积</v>
          </cell>
          <cell r="D917" t="str">
            <v>m2</v>
          </cell>
          <cell r="E917">
            <v>0</v>
          </cell>
          <cell r="F917">
            <v>0</v>
          </cell>
          <cell r="G917">
            <v>0</v>
          </cell>
          <cell r="H917">
            <v>0</v>
          </cell>
          <cell r="I917">
            <v>0.10999999999999999</v>
          </cell>
          <cell r="J917">
            <v>0</v>
          </cell>
          <cell r="K917">
            <v>0</v>
          </cell>
          <cell r="L917">
            <v>0</v>
          </cell>
          <cell r="M917">
            <v>0</v>
          </cell>
          <cell r="O917" t="str">
            <v>*</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row>
        <row r="918">
          <cell r="B918" t="str">
            <v>写字楼</v>
          </cell>
          <cell r="C918" t="str">
            <v>建筑面积</v>
          </cell>
          <cell r="D918" t="str">
            <v>m2</v>
          </cell>
          <cell r="E918">
            <v>0</v>
          </cell>
          <cell r="F918">
            <v>0</v>
          </cell>
          <cell r="G918">
            <v>0</v>
          </cell>
          <cell r="H918">
            <v>0</v>
          </cell>
          <cell r="I918">
            <v>0.10999999999999999</v>
          </cell>
          <cell r="J918">
            <v>0</v>
          </cell>
          <cell r="K918">
            <v>0</v>
          </cell>
          <cell r="L918">
            <v>0</v>
          </cell>
          <cell r="M918">
            <v>0</v>
          </cell>
          <cell r="O918" t="str">
            <v>*</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row>
        <row r="919">
          <cell r="B919" t="str">
            <v>酒店</v>
          </cell>
          <cell r="C919" t="str">
            <v>建筑面积</v>
          </cell>
          <cell r="D919" t="str">
            <v>m2</v>
          </cell>
          <cell r="E919">
            <v>0</v>
          </cell>
          <cell r="F919">
            <v>0</v>
          </cell>
          <cell r="G919">
            <v>0</v>
          </cell>
          <cell r="H919">
            <v>0</v>
          </cell>
          <cell r="I919">
            <v>0.10999999999999999</v>
          </cell>
          <cell r="J919">
            <v>0</v>
          </cell>
          <cell r="K919">
            <v>0</v>
          </cell>
          <cell r="L919">
            <v>0</v>
          </cell>
          <cell r="M919">
            <v>0</v>
          </cell>
          <cell r="O919" t="str">
            <v>*</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row>
        <row r="920">
          <cell r="B920" t="str">
            <v>医院（自持）</v>
          </cell>
          <cell r="C920" t="str">
            <v>建筑面积</v>
          </cell>
          <cell r="D920" t="str">
            <v>m2</v>
          </cell>
          <cell r="E920">
            <v>0</v>
          </cell>
          <cell r="F920">
            <v>0</v>
          </cell>
          <cell r="G920">
            <v>0</v>
          </cell>
          <cell r="H920">
            <v>0</v>
          </cell>
          <cell r="I920">
            <v>0.10999999999999999</v>
          </cell>
          <cell r="J920">
            <v>0</v>
          </cell>
          <cell r="K920">
            <v>0</v>
          </cell>
          <cell r="L920">
            <v>0</v>
          </cell>
          <cell r="M920">
            <v>0</v>
          </cell>
          <cell r="O920" t="str">
            <v>*</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row>
        <row r="921">
          <cell r="B921" t="str">
            <v>地上计容车库</v>
          </cell>
          <cell r="C921" t="str">
            <v>建筑面积</v>
          </cell>
          <cell r="D921" t="str">
            <v>m2</v>
          </cell>
          <cell r="E921">
            <v>0</v>
          </cell>
          <cell r="F921">
            <v>0</v>
          </cell>
          <cell r="G921">
            <v>0</v>
          </cell>
          <cell r="H921">
            <v>0</v>
          </cell>
          <cell r="I921">
            <v>0.10999999999999999</v>
          </cell>
          <cell r="J921">
            <v>0</v>
          </cell>
          <cell r="K921">
            <v>0</v>
          </cell>
          <cell r="L921">
            <v>0</v>
          </cell>
          <cell r="M921">
            <v>0</v>
          </cell>
          <cell r="O921" t="str">
            <v>*</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row>
        <row r="922">
          <cell r="B922" t="str">
            <v>非人防地下室</v>
          </cell>
          <cell r="C922" t="str">
            <v>建筑面积</v>
          </cell>
          <cell r="D922" t="str">
            <v>m2</v>
          </cell>
          <cell r="E922">
            <v>77471.58</v>
          </cell>
          <cell r="F922">
            <v>70</v>
          </cell>
          <cell r="G922">
            <v>5423010.6000000006</v>
          </cell>
          <cell r="H922">
            <v>0</v>
          </cell>
          <cell r="I922">
            <v>0.10999999999999999</v>
          </cell>
          <cell r="J922">
            <v>63.063063063063069</v>
          </cell>
          <cell r="K922">
            <v>6.9369369369369309</v>
          </cell>
          <cell r="L922">
            <v>4885595.1351351356</v>
          </cell>
          <cell r="M922">
            <v>537415.46486486495</v>
          </cell>
          <cell r="O922" t="str">
            <v>*</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4885595.1351351356</v>
          </cell>
          <cell r="AH922">
            <v>0</v>
          </cell>
          <cell r="AI922">
            <v>0</v>
          </cell>
          <cell r="AJ922">
            <v>0</v>
          </cell>
          <cell r="AK922">
            <v>0</v>
          </cell>
          <cell r="AL922">
            <v>0</v>
          </cell>
          <cell r="AM922">
            <v>0</v>
          </cell>
          <cell r="AN922">
            <v>0</v>
          </cell>
          <cell r="AO922">
            <v>0</v>
          </cell>
          <cell r="AP922">
            <v>0</v>
          </cell>
          <cell r="AQ922">
            <v>0</v>
          </cell>
          <cell r="AR922">
            <v>4885595.1351351356</v>
          </cell>
          <cell r="AS922">
            <v>0</v>
          </cell>
        </row>
        <row r="923">
          <cell r="B923" t="str">
            <v>人防地下室</v>
          </cell>
          <cell r="C923" t="str">
            <v>建筑面积</v>
          </cell>
          <cell r="D923" t="str">
            <v>m2</v>
          </cell>
          <cell r="E923">
            <v>9400</v>
          </cell>
          <cell r="F923">
            <v>70</v>
          </cell>
          <cell r="G923">
            <v>658000</v>
          </cell>
          <cell r="H923">
            <v>0</v>
          </cell>
          <cell r="I923">
            <v>0.10999999999999999</v>
          </cell>
          <cell r="J923">
            <v>63.063063063063069</v>
          </cell>
          <cell r="K923">
            <v>6.9369369369369309</v>
          </cell>
          <cell r="L923">
            <v>592792.7927927929</v>
          </cell>
          <cell r="M923">
            <v>65207.207207207102</v>
          </cell>
          <cell r="O923" t="str">
            <v>*</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592792.7927927929</v>
          </cell>
          <cell r="AI923">
            <v>0</v>
          </cell>
          <cell r="AJ923">
            <v>0</v>
          </cell>
          <cell r="AK923">
            <v>0</v>
          </cell>
          <cell r="AL923">
            <v>0</v>
          </cell>
          <cell r="AM923">
            <v>0</v>
          </cell>
          <cell r="AN923">
            <v>0</v>
          </cell>
          <cell r="AO923">
            <v>0</v>
          </cell>
          <cell r="AP923">
            <v>0</v>
          </cell>
          <cell r="AQ923">
            <v>0</v>
          </cell>
          <cell r="AR923">
            <v>592792.7927927929</v>
          </cell>
          <cell r="AS923">
            <v>0</v>
          </cell>
        </row>
        <row r="924">
          <cell r="B924" t="str">
            <v>独立会所（综合楼）</v>
          </cell>
          <cell r="C924" t="str">
            <v>建筑面积</v>
          </cell>
          <cell r="D924" t="str">
            <v>m2</v>
          </cell>
          <cell r="E924">
            <v>0</v>
          </cell>
          <cell r="F924">
            <v>0</v>
          </cell>
          <cell r="G924">
            <v>0</v>
          </cell>
          <cell r="H924">
            <v>0</v>
          </cell>
          <cell r="I924">
            <v>0.10999999999999999</v>
          </cell>
          <cell r="J924">
            <v>0</v>
          </cell>
          <cell r="K924">
            <v>0</v>
          </cell>
          <cell r="L924">
            <v>0</v>
          </cell>
          <cell r="M924">
            <v>0</v>
          </cell>
          <cell r="O924" t="str">
            <v>*</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row>
        <row r="925">
          <cell r="B925" t="str">
            <v>活动中心</v>
          </cell>
          <cell r="C925" t="str">
            <v>建筑面积</v>
          </cell>
          <cell r="D925" t="str">
            <v>m2</v>
          </cell>
          <cell r="E925">
            <v>0</v>
          </cell>
          <cell r="F925">
            <v>0</v>
          </cell>
          <cell r="G925">
            <v>0</v>
          </cell>
          <cell r="H925">
            <v>0</v>
          </cell>
          <cell r="I925">
            <v>0.10999999999999999</v>
          </cell>
          <cell r="J925">
            <v>0</v>
          </cell>
          <cell r="K925">
            <v>0</v>
          </cell>
          <cell r="L925">
            <v>0</v>
          </cell>
          <cell r="M925">
            <v>0</v>
          </cell>
          <cell r="O925" t="str">
            <v>*</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row>
        <row r="926">
          <cell r="B926" t="str">
            <v>商贸市场</v>
          </cell>
          <cell r="C926" t="str">
            <v>建筑面积</v>
          </cell>
          <cell r="D926" t="str">
            <v>m2</v>
          </cell>
          <cell r="E926">
            <v>0</v>
          </cell>
          <cell r="F926">
            <v>0</v>
          </cell>
          <cell r="G926">
            <v>0</v>
          </cell>
          <cell r="H926">
            <v>0</v>
          </cell>
          <cell r="I926">
            <v>0.10999999999999999</v>
          </cell>
          <cell r="J926">
            <v>0</v>
          </cell>
          <cell r="K926">
            <v>0</v>
          </cell>
          <cell r="L926">
            <v>0</v>
          </cell>
          <cell r="M926">
            <v>0</v>
          </cell>
          <cell r="O926" t="str">
            <v>*</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row>
        <row r="927">
          <cell r="B927" t="str">
            <v>医院</v>
          </cell>
          <cell r="C927" t="str">
            <v>建筑面积</v>
          </cell>
          <cell r="D927" t="str">
            <v>m2</v>
          </cell>
          <cell r="E927">
            <v>0</v>
          </cell>
          <cell r="F927">
            <v>0</v>
          </cell>
          <cell r="G927">
            <v>0</v>
          </cell>
          <cell r="H927">
            <v>0</v>
          </cell>
          <cell r="I927">
            <v>0.10999999999999999</v>
          </cell>
          <cell r="J927">
            <v>0</v>
          </cell>
          <cell r="K927">
            <v>0</v>
          </cell>
          <cell r="L927">
            <v>0</v>
          </cell>
          <cell r="M927">
            <v>0</v>
          </cell>
          <cell r="O927" t="str">
            <v>*</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row>
        <row r="928">
          <cell r="B928" t="str">
            <v>幼儿园</v>
          </cell>
          <cell r="C928" t="str">
            <v>建筑面积</v>
          </cell>
          <cell r="D928" t="str">
            <v>m2</v>
          </cell>
          <cell r="E928">
            <v>0</v>
          </cell>
          <cell r="F928">
            <v>0</v>
          </cell>
          <cell r="G928">
            <v>0</v>
          </cell>
          <cell r="H928">
            <v>0</v>
          </cell>
          <cell r="I928">
            <v>0.10999999999999999</v>
          </cell>
          <cell r="J928">
            <v>0</v>
          </cell>
          <cell r="K928">
            <v>0</v>
          </cell>
          <cell r="L928">
            <v>0</v>
          </cell>
          <cell r="M928">
            <v>0</v>
          </cell>
          <cell r="O928" t="str">
            <v>*</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row>
        <row r="929">
          <cell r="B929" t="str">
            <v>学校</v>
          </cell>
          <cell r="C929" t="str">
            <v>建筑面积</v>
          </cell>
          <cell r="D929" t="str">
            <v>m2</v>
          </cell>
          <cell r="E929">
            <v>0</v>
          </cell>
          <cell r="F929">
            <v>0</v>
          </cell>
          <cell r="G929">
            <v>0</v>
          </cell>
          <cell r="H929">
            <v>0</v>
          </cell>
          <cell r="I929">
            <v>0.10999999999999999</v>
          </cell>
          <cell r="J929">
            <v>0</v>
          </cell>
          <cell r="K929">
            <v>0</v>
          </cell>
          <cell r="L929">
            <v>0</v>
          </cell>
          <cell r="M929">
            <v>0</v>
          </cell>
          <cell r="O929" t="str">
            <v>*</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row>
        <row r="930">
          <cell r="B930" t="str">
            <v>员工宿舍</v>
          </cell>
          <cell r="C930" t="str">
            <v>建筑面积</v>
          </cell>
          <cell r="D930" t="str">
            <v>m2</v>
          </cell>
          <cell r="E930">
            <v>0</v>
          </cell>
          <cell r="F930">
            <v>0</v>
          </cell>
          <cell r="G930">
            <v>0</v>
          </cell>
          <cell r="H930">
            <v>0</v>
          </cell>
          <cell r="I930">
            <v>0.10999999999999999</v>
          </cell>
          <cell r="J930">
            <v>0</v>
          </cell>
          <cell r="K930">
            <v>0</v>
          </cell>
          <cell r="L930">
            <v>0</v>
          </cell>
          <cell r="M930">
            <v>0</v>
          </cell>
          <cell r="O930" t="str">
            <v>*</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row>
        <row r="931">
          <cell r="A931" t="str">
            <v>03.03.01.05</v>
          </cell>
          <cell r="B931" t="str">
            <v>防雷工程</v>
          </cell>
          <cell r="C931" t="str">
            <v>建筑面积</v>
          </cell>
          <cell r="D931" t="str">
            <v>m2</v>
          </cell>
          <cell r="E931">
            <v>241586.90000000002</v>
          </cell>
          <cell r="F931">
            <v>10.665574085349826</v>
          </cell>
          <cell r="G931">
            <v>2576662.98</v>
          </cell>
          <cell r="I931">
            <v>0.10999999999999999</v>
          </cell>
          <cell r="J931">
            <v>9.6086253021169608</v>
          </cell>
          <cell r="K931">
            <v>1.0569487832328655</v>
          </cell>
          <cell r="L931">
            <v>2321318</v>
          </cell>
          <cell r="M931">
            <v>255344.97999999998</v>
          </cell>
          <cell r="P931">
            <v>0</v>
          </cell>
          <cell r="Q931">
            <v>288324.32432432438</v>
          </cell>
          <cell r="R931">
            <v>25275.67567567568</v>
          </cell>
          <cell r="S931">
            <v>722732.39639639645</v>
          </cell>
          <cell r="T931">
            <v>722732.39639639645</v>
          </cell>
          <cell r="U931">
            <v>0</v>
          </cell>
          <cell r="V931">
            <v>0</v>
          </cell>
          <cell r="W931">
            <v>0</v>
          </cell>
          <cell r="X931">
            <v>0</v>
          </cell>
          <cell r="Y931">
            <v>0</v>
          </cell>
          <cell r="Z931">
            <v>0</v>
          </cell>
          <cell r="AA931">
            <v>0</v>
          </cell>
          <cell r="AB931">
            <v>14414.414414414416</v>
          </cell>
          <cell r="AC931">
            <v>0</v>
          </cell>
          <cell r="AD931">
            <v>0</v>
          </cell>
          <cell r="AE931">
            <v>0</v>
          </cell>
          <cell r="AF931">
            <v>0</v>
          </cell>
          <cell r="AG931">
            <v>488559.51351351361</v>
          </cell>
          <cell r="AH931">
            <v>59279.279279279282</v>
          </cell>
          <cell r="AI931">
            <v>0</v>
          </cell>
          <cell r="AJ931">
            <v>0</v>
          </cell>
          <cell r="AK931">
            <v>0</v>
          </cell>
          <cell r="AL931">
            <v>0</v>
          </cell>
          <cell r="AM931">
            <v>0</v>
          </cell>
          <cell r="AN931">
            <v>0</v>
          </cell>
          <cell r="AO931">
            <v>0</v>
          </cell>
          <cell r="AP931">
            <v>0</v>
          </cell>
          <cell r="AQ931">
            <v>0</v>
          </cell>
          <cell r="AR931">
            <v>2321318</v>
          </cell>
          <cell r="AS931">
            <v>0</v>
          </cell>
        </row>
        <row r="932">
          <cell r="B932">
            <v>100</v>
          </cell>
          <cell r="C932" t="str">
            <v>建筑面积</v>
          </cell>
          <cell r="D932" t="str">
            <v>m2</v>
          </cell>
          <cell r="E932">
            <v>0</v>
          </cell>
          <cell r="F932">
            <v>0</v>
          </cell>
          <cell r="G932">
            <v>0</v>
          </cell>
          <cell r="H932">
            <v>0</v>
          </cell>
          <cell r="I932">
            <v>0.10999999999999999</v>
          </cell>
          <cell r="J932">
            <v>0</v>
          </cell>
          <cell r="K932">
            <v>0</v>
          </cell>
          <cell r="L932">
            <v>0</v>
          </cell>
          <cell r="M932">
            <v>0</v>
          </cell>
          <cell r="N932" t="str">
            <v>参考丽山花园B009户型集团审核价50元/m2,综合考虑已定结算上浮20%考虑约60元/m2,按比例拆分13元/m2.</v>
          </cell>
          <cell r="O932" t="str">
            <v>*</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row>
        <row r="933">
          <cell r="B933">
            <v>125</v>
          </cell>
          <cell r="C933" t="str">
            <v>建筑面积</v>
          </cell>
          <cell r="D933" t="str">
            <v>m2</v>
          </cell>
          <cell r="E933">
            <v>26670</v>
          </cell>
          <cell r="F933">
            <v>12</v>
          </cell>
          <cell r="G933">
            <v>320040</v>
          </cell>
          <cell r="H933">
            <v>0</v>
          </cell>
          <cell r="I933">
            <v>0.10999999999999999</v>
          </cell>
          <cell r="J933">
            <v>10.810810810810812</v>
          </cell>
          <cell r="K933">
            <v>1.1891891891891877</v>
          </cell>
          <cell r="L933">
            <v>288324.32432432438</v>
          </cell>
          <cell r="M933">
            <v>31715.675675675622</v>
          </cell>
          <cell r="O933" t="str">
            <v>*</v>
          </cell>
          <cell r="P933">
            <v>0</v>
          </cell>
          <cell r="Q933">
            <v>288324.32432432438</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288324.32432432438</v>
          </cell>
          <cell r="AS933">
            <v>0</v>
          </cell>
        </row>
        <row r="934">
          <cell r="B934">
            <v>150</v>
          </cell>
          <cell r="C934" t="str">
            <v>建筑面积</v>
          </cell>
          <cell r="D934" t="str">
            <v>m2</v>
          </cell>
          <cell r="E934">
            <v>2338</v>
          </cell>
          <cell r="F934">
            <v>12</v>
          </cell>
          <cell r="G934">
            <v>28056</v>
          </cell>
          <cell r="H934">
            <v>0</v>
          </cell>
          <cell r="I934">
            <v>0.10999999999999999</v>
          </cell>
          <cell r="J934">
            <v>10.810810810810812</v>
          </cell>
          <cell r="K934">
            <v>1.1891891891891877</v>
          </cell>
          <cell r="L934">
            <v>25275.67567567568</v>
          </cell>
          <cell r="M934">
            <v>2780.3243243243196</v>
          </cell>
          <cell r="N934" t="str">
            <v>参考丽山花园B009户型集团审核价50元/m2,综合考虑已定结算上浮20%考虑约60元/m2,按比例拆分13元/m2.</v>
          </cell>
          <cell r="O934" t="str">
            <v>*</v>
          </cell>
          <cell r="P934">
            <v>0</v>
          </cell>
          <cell r="Q934">
            <v>0</v>
          </cell>
          <cell r="R934">
            <v>25275.67567567568</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25275.67567567568</v>
          </cell>
          <cell r="AS934">
            <v>0</v>
          </cell>
        </row>
        <row r="935">
          <cell r="B935" t="str">
            <v>1T4(30F)</v>
          </cell>
          <cell r="C935" t="str">
            <v>建筑面积</v>
          </cell>
          <cell r="D935" t="str">
            <v>m2</v>
          </cell>
          <cell r="E935">
            <v>100279.12</v>
          </cell>
          <cell r="F935">
            <v>8</v>
          </cell>
          <cell r="G935">
            <v>802232.96</v>
          </cell>
          <cell r="H935">
            <v>0</v>
          </cell>
          <cell r="I935">
            <v>0.10999999999999999</v>
          </cell>
          <cell r="J935">
            <v>7.2072072072072082</v>
          </cell>
          <cell r="K935">
            <v>0.7927927927927918</v>
          </cell>
          <cell r="L935">
            <v>722732.39639639645</v>
          </cell>
          <cell r="M935">
            <v>79500.563603603514</v>
          </cell>
          <cell r="O935" t="str">
            <v>*</v>
          </cell>
          <cell r="P935">
            <v>0</v>
          </cell>
          <cell r="Q935">
            <v>0</v>
          </cell>
          <cell r="R935">
            <v>0</v>
          </cell>
          <cell r="S935">
            <v>722732.39639639645</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722732.39639639645</v>
          </cell>
          <cell r="AS935">
            <v>0</v>
          </cell>
        </row>
        <row r="936">
          <cell r="B936" t="str">
            <v>1T3(30F)</v>
          </cell>
          <cell r="C936" t="str">
            <v>建筑面积</v>
          </cell>
          <cell r="D936" t="str">
            <v>m2</v>
          </cell>
          <cell r="E936">
            <v>23428.2</v>
          </cell>
          <cell r="F936">
            <v>34.242193595752127</v>
          </cell>
          <cell r="G936">
            <v>802232.96</v>
          </cell>
          <cell r="H936">
            <v>0</v>
          </cell>
          <cell r="I936">
            <v>0.10999999999999999</v>
          </cell>
          <cell r="J936">
            <v>30.848823059236153</v>
          </cell>
          <cell r="K936">
            <v>3.3933705365159739</v>
          </cell>
          <cell r="L936">
            <v>722732.39639639645</v>
          </cell>
          <cell r="M936">
            <v>79500.563603603514</v>
          </cell>
          <cell r="N936" t="str">
            <v>参考丽山花园B009户型集团审核价50元/m2,综合考虑已定结算上浮20%考虑约60元/m2,按比例拆分13元/m2.</v>
          </cell>
          <cell r="O936" t="str">
            <v>*</v>
          </cell>
          <cell r="P936">
            <v>0</v>
          </cell>
          <cell r="Q936">
            <v>0</v>
          </cell>
          <cell r="R936">
            <v>0</v>
          </cell>
          <cell r="S936">
            <v>0</v>
          </cell>
          <cell r="T936">
            <v>722732.39639639645</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722732.39639639645</v>
          </cell>
          <cell r="AS936">
            <v>0</v>
          </cell>
        </row>
        <row r="937">
          <cell r="B937" t="str">
            <v>LOFT(31F)</v>
          </cell>
          <cell r="C937" t="str">
            <v>建筑面积</v>
          </cell>
          <cell r="D937" t="str">
            <v>m2</v>
          </cell>
          <cell r="E937">
            <v>0</v>
          </cell>
          <cell r="F937">
            <v>0</v>
          </cell>
          <cell r="G937">
            <v>0</v>
          </cell>
          <cell r="H937">
            <v>0</v>
          </cell>
          <cell r="I937">
            <v>0.10999999999999999</v>
          </cell>
          <cell r="J937">
            <v>0</v>
          </cell>
          <cell r="K937">
            <v>0</v>
          </cell>
          <cell r="L937">
            <v>0</v>
          </cell>
          <cell r="M937">
            <v>0</v>
          </cell>
          <cell r="O937" t="str">
            <v>*</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row>
        <row r="938">
          <cell r="B938" t="str">
            <v>1T2(31F)</v>
          </cell>
          <cell r="C938" t="str">
            <v>建筑面积</v>
          </cell>
          <cell r="D938" t="str">
            <v>m2</v>
          </cell>
          <cell r="E938">
            <v>0</v>
          </cell>
          <cell r="F938">
            <v>0</v>
          </cell>
          <cell r="H938">
            <v>0</v>
          </cell>
          <cell r="I938">
            <v>0.10999999999999999</v>
          </cell>
          <cell r="J938">
            <v>0</v>
          </cell>
          <cell r="K938">
            <v>0</v>
          </cell>
          <cell r="O938" t="str">
            <v>*</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row>
        <row r="939">
          <cell r="B939" t="str">
            <v>1T8(32F)</v>
          </cell>
          <cell r="C939" t="str">
            <v>建筑面积</v>
          </cell>
          <cell r="D939" t="str">
            <v>m2</v>
          </cell>
          <cell r="E939">
            <v>0</v>
          </cell>
          <cell r="F939">
            <v>0</v>
          </cell>
          <cell r="G939">
            <v>0</v>
          </cell>
          <cell r="H939">
            <v>0</v>
          </cell>
          <cell r="I939">
            <v>0.10999999999999999</v>
          </cell>
          <cell r="J939">
            <v>0</v>
          </cell>
          <cell r="K939">
            <v>0</v>
          </cell>
          <cell r="L939">
            <v>0</v>
          </cell>
          <cell r="M939">
            <v>0</v>
          </cell>
          <cell r="O939" t="str">
            <v>*</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row>
        <row r="940">
          <cell r="B940" t="str">
            <v>中高层洋房</v>
          </cell>
          <cell r="C940" t="str">
            <v>建筑面积</v>
          </cell>
          <cell r="D940" t="str">
            <v>m2</v>
          </cell>
          <cell r="E940">
            <v>0</v>
          </cell>
          <cell r="F940">
            <v>0</v>
          </cell>
          <cell r="G940">
            <v>0</v>
          </cell>
          <cell r="H940">
            <v>0</v>
          </cell>
          <cell r="I940">
            <v>0.10999999999999999</v>
          </cell>
          <cell r="J940">
            <v>0</v>
          </cell>
          <cell r="K940">
            <v>0</v>
          </cell>
          <cell r="L940">
            <v>0</v>
          </cell>
          <cell r="M940">
            <v>0</v>
          </cell>
          <cell r="O940" t="str">
            <v>*</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row>
        <row r="941">
          <cell r="B941" t="str">
            <v>115高层洋房</v>
          </cell>
          <cell r="C941" t="str">
            <v>建筑面积</v>
          </cell>
          <cell r="D941" t="str">
            <v>m2</v>
          </cell>
          <cell r="E941">
            <v>0</v>
          </cell>
          <cell r="F941">
            <v>0</v>
          </cell>
          <cell r="G941">
            <v>0</v>
          </cell>
          <cell r="H941">
            <v>0</v>
          </cell>
          <cell r="I941">
            <v>0.10999999999999999</v>
          </cell>
          <cell r="J941">
            <v>0</v>
          </cell>
          <cell r="K941">
            <v>0</v>
          </cell>
          <cell r="L941">
            <v>0</v>
          </cell>
          <cell r="M941">
            <v>0</v>
          </cell>
          <cell r="N941" t="str">
            <v>参考黄埠项目集团审核价及按已确定结算原则上浮后单方造价约80元/m2,按比例拆分5元/m2</v>
          </cell>
          <cell r="O941" t="str">
            <v>*</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row>
        <row r="942">
          <cell r="B942" t="str">
            <v>超高层洋房</v>
          </cell>
          <cell r="C942" t="str">
            <v>建筑面积</v>
          </cell>
          <cell r="D942" t="str">
            <v>m2</v>
          </cell>
          <cell r="E942">
            <v>0</v>
          </cell>
          <cell r="F942">
            <v>0</v>
          </cell>
          <cell r="G942">
            <v>0</v>
          </cell>
          <cell r="H942">
            <v>0</v>
          </cell>
          <cell r="I942">
            <v>0.10999999999999999</v>
          </cell>
          <cell r="J942">
            <v>0</v>
          </cell>
          <cell r="K942">
            <v>0</v>
          </cell>
          <cell r="L942">
            <v>0</v>
          </cell>
          <cell r="M942">
            <v>0</v>
          </cell>
          <cell r="O942" t="str">
            <v>*</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row>
        <row r="943">
          <cell r="B943" t="str">
            <v>公寓</v>
          </cell>
          <cell r="C943" t="str">
            <v>建筑面积</v>
          </cell>
          <cell r="D943" t="str">
            <v>m2</v>
          </cell>
          <cell r="E943">
            <v>0</v>
          </cell>
          <cell r="F943">
            <v>0</v>
          </cell>
          <cell r="G943">
            <v>0</v>
          </cell>
          <cell r="H943">
            <v>0</v>
          </cell>
          <cell r="I943">
            <v>0.10999999999999999</v>
          </cell>
          <cell r="J943">
            <v>0</v>
          </cell>
          <cell r="K943">
            <v>0</v>
          </cell>
          <cell r="L943">
            <v>0</v>
          </cell>
          <cell r="M943">
            <v>0</v>
          </cell>
          <cell r="O943" t="str">
            <v>*</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row>
        <row r="944">
          <cell r="B944" t="str">
            <v>底商</v>
          </cell>
          <cell r="C944" t="str">
            <v>建筑面积</v>
          </cell>
          <cell r="D944" t="str">
            <v>m2</v>
          </cell>
          <cell r="E944">
            <v>2000</v>
          </cell>
          <cell r="F944">
            <v>8</v>
          </cell>
          <cell r="G944">
            <v>16000</v>
          </cell>
          <cell r="H944">
            <v>0</v>
          </cell>
          <cell r="I944">
            <v>0.10999999999999999</v>
          </cell>
          <cell r="J944">
            <v>7.2072072072072082</v>
          </cell>
          <cell r="K944">
            <v>0.7927927927927918</v>
          </cell>
          <cell r="L944">
            <v>14414.414414414416</v>
          </cell>
          <cell r="M944">
            <v>1585.5855855855843</v>
          </cell>
          <cell r="O944" t="str">
            <v>*</v>
          </cell>
          <cell r="P944">
            <v>0</v>
          </cell>
          <cell r="Q944">
            <v>0</v>
          </cell>
          <cell r="R944">
            <v>0</v>
          </cell>
          <cell r="S944">
            <v>0</v>
          </cell>
          <cell r="T944">
            <v>0</v>
          </cell>
          <cell r="U944">
            <v>0</v>
          </cell>
          <cell r="V944">
            <v>0</v>
          </cell>
          <cell r="W944">
            <v>0</v>
          </cell>
          <cell r="X944">
            <v>0</v>
          </cell>
          <cell r="Y944">
            <v>0</v>
          </cell>
          <cell r="Z944">
            <v>0</v>
          </cell>
          <cell r="AA944">
            <v>0</v>
          </cell>
          <cell r="AB944">
            <v>14414.414414414416</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14414.414414414416</v>
          </cell>
          <cell r="AS944">
            <v>0</v>
          </cell>
        </row>
        <row r="945">
          <cell r="B945" t="str">
            <v>商业街</v>
          </cell>
          <cell r="C945" t="str">
            <v>建筑面积</v>
          </cell>
          <cell r="D945" t="str">
            <v>m2</v>
          </cell>
          <cell r="E945">
            <v>0</v>
          </cell>
          <cell r="F945">
            <v>0</v>
          </cell>
          <cell r="G945">
            <v>0</v>
          </cell>
          <cell r="H945">
            <v>0</v>
          </cell>
          <cell r="I945">
            <v>0.10999999999999999</v>
          </cell>
          <cell r="J945">
            <v>0</v>
          </cell>
          <cell r="K945">
            <v>0</v>
          </cell>
          <cell r="L945">
            <v>0</v>
          </cell>
          <cell r="M945">
            <v>0</v>
          </cell>
          <cell r="O945" t="str">
            <v>*</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row>
        <row r="946">
          <cell r="B946" t="str">
            <v>综合楼</v>
          </cell>
          <cell r="C946" t="str">
            <v>建筑面积</v>
          </cell>
          <cell r="D946" t="str">
            <v>m2</v>
          </cell>
          <cell r="E946">
            <v>0</v>
          </cell>
          <cell r="F946">
            <v>0</v>
          </cell>
          <cell r="G946">
            <v>0</v>
          </cell>
          <cell r="H946">
            <v>0</v>
          </cell>
          <cell r="I946">
            <v>0.10999999999999999</v>
          </cell>
          <cell r="J946">
            <v>0</v>
          </cell>
          <cell r="K946">
            <v>0</v>
          </cell>
          <cell r="L946">
            <v>0</v>
          </cell>
          <cell r="M946">
            <v>0</v>
          </cell>
          <cell r="O946" t="str">
            <v>*</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row>
        <row r="947">
          <cell r="B947" t="str">
            <v>写字楼</v>
          </cell>
          <cell r="C947" t="str">
            <v>建筑面积</v>
          </cell>
          <cell r="D947" t="str">
            <v>m2</v>
          </cell>
          <cell r="E947">
            <v>0</v>
          </cell>
          <cell r="F947">
            <v>0</v>
          </cell>
          <cell r="G947">
            <v>0</v>
          </cell>
          <cell r="H947">
            <v>0</v>
          </cell>
          <cell r="I947">
            <v>0.10999999999999999</v>
          </cell>
          <cell r="J947">
            <v>0</v>
          </cell>
          <cell r="K947">
            <v>0</v>
          </cell>
          <cell r="L947">
            <v>0</v>
          </cell>
          <cell r="M947">
            <v>0</v>
          </cell>
          <cell r="O947" t="str">
            <v>*</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row>
        <row r="948">
          <cell r="B948" t="str">
            <v>酒店</v>
          </cell>
          <cell r="C948" t="str">
            <v>建筑面积</v>
          </cell>
          <cell r="D948" t="str">
            <v>m2</v>
          </cell>
          <cell r="E948">
            <v>0</v>
          </cell>
          <cell r="F948">
            <v>0</v>
          </cell>
          <cell r="G948">
            <v>0</v>
          </cell>
          <cell r="H948">
            <v>0</v>
          </cell>
          <cell r="I948">
            <v>0.10999999999999999</v>
          </cell>
          <cell r="J948">
            <v>0</v>
          </cell>
          <cell r="K948">
            <v>0</v>
          </cell>
          <cell r="L948">
            <v>0</v>
          </cell>
          <cell r="M948">
            <v>0</v>
          </cell>
          <cell r="O948" t="str">
            <v>*</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row>
        <row r="949">
          <cell r="B949" t="str">
            <v>医院（自持）</v>
          </cell>
          <cell r="C949" t="str">
            <v>建筑面积</v>
          </cell>
          <cell r="D949" t="str">
            <v>m2</v>
          </cell>
          <cell r="E949">
            <v>0</v>
          </cell>
          <cell r="F949">
            <v>0</v>
          </cell>
          <cell r="G949">
            <v>0</v>
          </cell>
          <cell r="H949">
            <v>0</v>
          </cell>
          <cell r="I949">
            <v>0.10999999999999999</v>
          </cell>
          <cell r="J949">
            <v>0</v>
          </cell>
          <cell r="K949">
            <v>0</v>
          </cell>
          <cell r="L949">
            <v>0</v>
          </cell>
          <cell r="M949">
            <v>0</v>
          </cell>
          <cell r="O949" t="str">
            <v>*</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row>
        <row r="950">
          <cell r="B950" t="str">
            <v>地上计容车库</v>
          </cell>
          <cell r="C950" t="str">
            <v>建筑面积</v>
          </cell>
          <cell r="D950" t="str">
            <v>m2</v>
          </cell>
          <cell r="E950">
            <v>0</v>
          </cell>
          <cell r="F950">
            <v>0</v>
          </cell>
          <cell r="G950">
            <v>0</v>
          </cell>
          <cell r="H950">
            <v>0</v>
          </cell>
          <cell r="I950">
            <v>0.10999999999999999</v>
          </cell>
          <cell r="J950">
            <v>0</v>
          </cell>
          <cell r="K950">
            <v>0</v>
          </cell>
          <cell r="L950">
            <v>0</v>
          </cell>
          <cell r="M950">
            <v>0</v>
          </cell>
          <cell r="O950" t="str">
            <v>*</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row>
        <row r="951">
          <cell r="B951" t="str">
            <v>非人防地下室</v>
          </cell>
          <cell r="C951" t="str">
            <v>建筑面积</v>
          </cell>
          <cell r="D951" t="str">
            <v>m2</v>
          </cell>
          <cell r="E951">
            <v>77471.58</v>
          </cell>
          <cell r="F951">
            <v>7.0000000000000009</v>
          </cell>
          <cell r="G951">
            <v>542301.06000000006</v>
          </cell>
          <cell r="H951">
            <v>0</v>
          </cell>
          <cell r="I951">
            <v>0.10999999999999999</v>
          </cell>
          <cell r="J951">
            <v>6.3063063063063076</v>
          </cell>
          <cell r="K951">
            <v>0.69369369369369327</v>
          </cell>
          <cell r="L951">
            <v>488559.51351351361</v>
          </cell>
          <cell r="M951">
            <v>53741.546486486448</v>
          </cell>
          <cell r="O951" t="str">
            <v>*</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488559.51351351361</v>
          </cell>
          <cell r="AH951">
            <v>0</v>
          </cell>
          <cell r="AI951">
            <v>0</v>
          </cell>
          <cell r="AJ951">
            <v>0</v>
          </cell>
          <cell r="AK951">
            <v>0</v>
          </cell>
          <cell r="AL951">
            <v>0</v>
          </cell>
          <cell r="AM951">
            <v>0</v>
          </cell>
          <cell r="AN951">
            <v>0</v>
          </cell>
          <cell r="AO951">
            <v>0</v>
          </cell>
          <cell r="AP951">
            <v>0</v>
          </cell>
          <cell r="AQ951">
            <v>0</v>
          </cell>
          <cell r="AR951">
            <v>488559.51351351361</v>
          </cell>
          <cell r="AS951">
            <v>0</v>
          </cell>
        </row>
        <row r="952">
          <cell r="B952" t="str">
            <v>人防地下室</v>
          </cell>
          <cell r="C952" t="str">
            <v>建筑面积</v>
          </cell>
          <cell r="D952" t="str">
            <v>m2</v>
          </cell>
          <cell r="E952">
            <v>9400</v>
          </cell>
          <cell r="F952">
            <v>7</v>
          </cell>
          <cell r="G952">
            <v>65800</v>
          </cell>
          <cell r="H952">
            <v>0</v>
          </cell>
          <cell r="I952">
            <v>0.10999999999999999</v>
          </cell>
          <cell r="J952">
            <v>6.3063063063063067</v>
          </cell>
          <cell r="K952">
            <v>0.69369369369369327</v>
          </cell>
          <cell r="L952">
            <v>59279.279279279282</v>
          </cell>
          <cell r="M952">
            <v>6520.7207207207175</v>
          </cell>
          <cell r="O952" t="str">
            <v>*</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59279.279279279282</v>
          </cell>
          <cell r="AI952">
            <v>0</v>
          </cell>
          <cell r="AJ952">
            <v>0</v>
          </cell>
          <cell r="AK952">
            <v>0</v>
          </cell>
          <cell r="AL952">
            <v>0</v>
          </cell>
          <cell r="AM952">
            <v>0</v>
          </cell>
          <cell r="AN952">
            <v>0</v>
          </cell>
          <cell r="AO952">
            <v>0</v>
          </cell>
          <cell r="AP952">
            <v>0</v>
          </cell>
          <cell r="AQ952">
            <v>0</v>
          </cell>
          <cell r="AR952">
            <v>59279.279279279282</v>
          </cell>
          <cell r="AS952">
            <v>0</v>
          </cell>
        </row>
        <row r="953">
          <cell r="B953" t="str">
            <v>独立会所（综合楼）</v>
          </cell>
          <cell r="C953" t="str">
            <v>建筑面积</v>
          </cell>
          <cell r="D953" t="str">
            <v>m2</v>
          </cell>
          <cell r="E953">
            <v>0</v>
          </cell>
          <cell r="F953">
            <v>0</v>
          </cell>
          <cell r="G953">
            <v>0</v>
          </cell>
          <cell r="H953">
            <v>0</v>
          </cell>
          <cell r="I953">
            <v>0.10999999999999999</v>
          </cell>
          <cell r="J953">
            <v>0</v>
          </cell>
          <cell r="K953">
            <v>0</v>
          </cell>
          <cell r="L953">
            <v>0</v>
          </cell>
          <cell r="M953">
            <v>0</v>
          </cell>
          <cell r="O953" t="str">
            <v>*</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row>
        <row r="954">
          <cell r="B954" t="str">
            <v>活动中心</v>
          </cell>
          <cell r="C954" t="str">
            <v>建筑面积</v>
          </cell>
          <cell r="D954" t="str">
            <v>m2</v>
          </cell>
          <cell r="E954">
            <v>0</v>
          </cell>
          <cell r="F954">
            <v>0</v>
          </cell>
          <cell r="G954">
            <v>0</v>
          </cell>
          <cell r="H954">
            <v>0</v>
          </cell>
          <cell r="I954">
            <v>0.10999999999999999</v>
          </cell>
          <cell r="J954">
            <v>0</v>
          </cell>
          <cell r="K954">
            <v>0</v>
          </cell>
          <cell r="L954">
            <v>0</v>
          </cell>
          <cell r="M954">
            <v>0</v>
          </cell>
          <cell r="O954" t="str">
            <v>*</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row>
        <row r="955">
          <cell r="B955" t="str">
            <v>商贸市场</v>
          </cell>
          <cell r="C955" t="str">
            <v>建筑面积</v>
          </cell>
          <cell r="D955" t="str">
            <v>m2</v>
          </cell>
          <cell r="E955">
            <v>0</v>
          </cell>
          <cell r="F955">
            <v>0</v>
          </cell>
          <cell r="G955">
            <v>0</v>
          </cell>
          <cell r="H955">
            <v>0</v>
          </cell>
          <cell r="I955">
            <v>0.10999999999999999</v>
          </cell>
          <cell r="J955">
            <v>0</v>
          </cell>
          <cell r="K955">
            <v>0</v>
          </cell>
          <cell r="L955">
            <v>0</v>
          </cell>
          <cell r="M955">
            <v>0</v>
          </cell>
          <cell r="O955" t="str">
            <v>*</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row>
        <row r="956">
          <cell r="B956" t="str">
            <v>医院</v>
          </cell>
          <cell r="C956" t="str">
            <v>建筑面积</v>
          </cell>
          <cell r="D956" t="str">
            <v>m2</v>
          </cell>
          <cell r="E956">
            <v>0</v>
          </cell>
          <cell r="F956">
            <v>0</v>
          </cell>
          <cell r="G956">
            <v>0</v>
          </cell>
          <cell r="H956">
            <v>0</v>
          </cell>
          <cell r="I956">
            <v>0.10999999999999999</v>
          </cell>
          <cell r="J956">
            <v>0</v>
          </cell>
          <cell r="K956">
            <v>0</v>
          </cell>
          <cell r="L956">
            <v>0</v>
          </cell>
          <cell r="M956">
            <v>0</v>
          </cell>
          <cell r="O956" t="str">
            <v>*</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row>
        <row r="957">
          <cell r="B957" t="str">
            <v>幼儿园</v>
          </cell>
          <cell r="C957" t="str">
            <v>建筑面积</v>
          </cell>
          <cell r="D957" t="str">
            <v>m2</v>
          </cell>
          <cell r="E957">
            <v>0</v>
          </cell>
          <cell r="F957">
            <v>0</v>
          </cell>
          <cell r="G957">
            <v>0</v>
          </cell>
          <cell r="H957">
            <v>0</v>
          </cell>
          <cell r="I957">
            <v>0.10999999999999999</v>
          </cell>
          <cell r="J957">
            <v>0</v>
          </cell>
          <cell r="K957">
            <v>0</v>
          </cell>
          <cell r="L957">
            <v>0</v>
          </cell>
          <cell r="M957">
            <v>0</v>
          </cell>
          <cell r="O957" t="str">
            <v>*</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row>
        <row r="958">
          <cell r="B958" t="str">
            <v>学校</v>
          </cell>
          <cell r="C958" t="str">
            <v>建筑面积</v>
          </cell>
          <cell r="D958" t="str">
            <v>m2</v>
          </cell>
          <cell r="E958">
            <v>0</v>
          </cell>
          <cell r="F958">
            <v>0</v>
          </cell>
          <cell r="G958">
            <v>0</v>
          </cell>
          <cell r="H958">
            <v>0</v>
          </cell>
          <cell r="I958">
            <v>0.10999999999999999</v>
          </cell>
          <cell r="J958">
            <v>0</v>
          </cell>
          <cell r="K958">
            <v>0</v>
          </cell>
          <cell r="L958">
            <v>0</v>
          </cell>
          <cell r="M958">
            <v>0</v>
          </cell>
          <cell r="O958" t="str">
            <v>*</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row>
        <row r="959">
          <cell r="B959" t="str">
            <v>员工宿舍</v>
          </cell>
          <cell r="C959" t="str">
            <v>建筑面积</v>
          </cell>
          <cell r="D959" t="str">
            <v>m2</v>
          </cell>
          <cell r="E959">
            <v>0</v>
          </cell>
          <cell r="F959">
            <v>0</v>
          </cell>
          <cell r="G959">
            <v>0</v>
          </cell>
          <cell r="H959">
            <v>0</v>
          </cell>
          <cell r="I959">
            <v>0.10999999999999999</v>
          </cell>
          <cell r="J959">
            <v>0</v>
          </cell>
          <cell r="K959">
            <v>0</v>
          </cell>
          <cell r="L959">
            <v>0</v>
          </cell>
          <cell r="M959">
            <v>0</v>
          </cell>
          <cell r="O959" t="str">
            <v>*</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row>
        <row r="960">
          <cell r="A960" t="str">
            <v>03.03.01.06</v>
          </cell>
          <cell r="B960" t="str">
            <v>采暖工程</v>
          </cell>
          <cell r="C960" t="str">
            <v>建筑面积</v>
          </cell>
          <cell r="D960" t="str">
            <v>m2</v>
          </cell>
          <cell r="E960">
            <v>241586.90000000002</v>
          </cell>
          <cell r="F960">
            <v>0</v>
          </cell>
          <cell r="G960">
            <v>0</v>
          </cell>
          <cell r="I960">
            <v>0</v>
          </cell>
          <cell r="J960">
            <v>0</v>
          </cell>
          <cell r="K960">
            <v>0</v>
          </cell>
          <cell r="L960">
            <v>0</v>
          </cell>
          <cell r="M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row>
        <row r="961">
          <cell r="B961">
            <v>100</v>
          </cell>
          <cell r="C961" t="str">
            <v>建筑面积</v>
          </cell>
          <cell r="D961" t="str">
            <v>m2</v>
          </cell>
          <cell r="E961">
            <v>0</v>
          </cell>
          <cell r="F961">
            <v>0</v>
          </cell>
          <cell r="G961">
            <v>0</v>
          </cell>
          <cell r="H961">
            <v>0</v>
          </cell>
          <cell r="I961">
            <v>0.10999999999999999</v>
          </cell>
          <cell r="J961">
            <v>0</v>
          </cell>
          <cell r="K961">
            <v>0</v>
          </cell>
          <cell r="L961">
            <v>0</v>
          </cell>
          <cell r="M961">
            <v>0</v>
          </cell>
          <cell r="O961" t="str">
            <v>*</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row>
        <row r="962">
          <cell r="B962">
            <v>125</v>
          </cell>
          <cell r="C962" t="str">
            <v>建筑面积</v>
          </cell>
          <cell r="D962" t="str">
            <v>m2</v>
          </cell>
          <cell r="E962">
            <v>26670</v>
          </cell>
          <cell r="F962">
            <v>0</v>
          </cell>
          <cell r="G962">
            <v>0</v>
          </cell>
          <cell r="H962">
            <v>0</v>
          </cell>
          <cell r="I962">
            <v>0.10999999999999999</v>
          </cell>
          <cell r="J962">
            <v>0</v>
          </cell>
          <cell r="K962">
            <v>0</v>
          </cell>
          <cell r="L962">
            <v>0</v>
          </cell>
          <cell r="M962">
            <v>0</v>
          </cell>
          <cell r="O962" t="str">
            <v>*</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row>
        <row r="963">
          <cell r="B963">
            <v>150</v>
          </cell>
          <cell r="C963" t="str">
            <v>建筑面积</v>
          </cell>
          <cell r="D963" t="str">
            <v>m2</v>
          </cell>
          <cell r="E963">
            <v>2338</v>
          </cell>
          <cell r="F963">
            <v>0</v>
          </cell>
          <cell r="G963">
            <v>0</v>
          </cell>
          <cell r="H963">
            <v>0</v>
          </cell>
          <cell r="I963">
            <v>0.10999999999999999</v>
          </cell>
          <cell r="J963">
            <v>0</v>
          </cell>
          <cell r="K963">
            <v>0</v>
          </cell>
          <cell r="L963">
            <v>0</v>
          </cell>
          <cell r="M963">
            <v>0</v>
          </cell>
          <cell r="O963" t="str">
            <v>*</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row>
        <row r="964">
          <cell r="B964" t="str">
            <v>1T4(30F)</v>
          </cell>
          <cell r="C964" t="str">
            <v>建筑面积</v>
          </cell>
          <cell r="D964" t="str">
            <v>m2</v>
          </cell>
          <cell r="E964">
            <v>100279.12</v>
          </cell>
          <cell r="F964">
            <v>0</v>
          </cell>
          <cell r="G964">
            <v>0</v>
          </cell>
          <cell r="H964">
            <v>0</v>
          </cell>
          <cell r="I964">
            <v>0.10999999999999999</v>
          </cell>
          <cell r="J964">
            <v>0</v>
          </cell>
          <cell r="K964">
            <v>0</v>
          </cell>
          <cell r="L964">
            <v>0</v>
          </cell>
          <cell r="M964">
            <v>0</v>
          </cell>
          <cell r="O964" t="str">
            <v>*</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row>
        <row r="965">
          <cell r="B965" t="str">
            <v>1T3(30F)</v>
          </cell>
          <cell r="C965" t="str">
            <v>建筑面积</v>
          </cell>
          <cell r="D965" t="str">
            <v>m2</v>
          </cell>
          <cell r="E965">
            <v>23428.2</v>
          </cell>
          <cell r="F965">
            <v>0</v>
          </cell>
          <cell r="G965">
            <v>0</v>
          </cell>
          <cell r="H965">
            <v>0</v>
          </cell>
          <cell r="I965">
            <v>0.10999999999999999</v>
          </cell>
          <cell r="J965">
            <v>0</v>
          </cell>
          <cell r="K965">
            <v>0</v>
          </cell>
          <cell r="L965">
            <v>0</v>
          </cell>
          <cell r="M965">
            <v>0</v>
          </cell>
          <cell r="O965" t="str">
            <v>*</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row>
        <row r="966">
          <cell r="B966" t="str">
            <v>LOFT(31F)</v>
          </cell>
          <cell r="C966" t="str">
            <v>建筑面积</v>
          </cell>
          <cell r="D966" t="str">
            <v>m2</v>
          </cell>
          <cell r="E966">
            <v>0</v>
          </cell>
          <cell r="F966">
            <v>0</v>
          </cell>
          <cell r="G966">
            <v>0</v>
          </cell>
          <cell r="H966">
            <v>0</v>
          </cell>
          <cell r="I966">
            <v>0.10999999999999999</v>
          </cell>
          <cell r="J966">
            <v>0</v>
          </cell>
          <cell r="K966">
            <v>0</v>
          </cell>
          <cell r="L966">
            <v>0</v>
          </cell>
          <cell r="M966">
            <v>0</v>
          </cell>
          <cell r="O966" t="str">
            <v>*</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row>
        <row r="967">
          <cell r="B967" t="str">
            <v>1T2(31F)</v>
          </cell>
          <cell r="C967" t="str">
            <v>建筑面积</v>
          </cell>
          <cell r="D967" t="str">
            <v>m2</v>
          </cell>
          <cell r="E967">
            <v>0</v>
          </cell>
          <cell r="F967">
            <v>0</v>
          </cell>
          <cell r="G967">
            <v>0</v>
          </cell>
          <cell r="H967">
            <v>0</v>
          </cell>
          <cell r="I967">
            <v>0.10999999999999999</v>
          </cell>
          <cell r="J967">
            <v>0</v>
          </cell>
          <cell r="K967">
            <v>0</v>
          </cell>
          <cell r="L967">
            <v>0</v>
          </cell>
          <cell r="M967">
            <v>0</v>
          </cell>
          <cell r="O967" t="str">
            <v>*</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row>
        <row r="968">
          <cell r="B968" t="str">
            <v>1T8(32F)</v>
          </cell>
          <cell r="C968" t="str">
            <v>建筑面积</v>
          </cell>
          <cell r="D968" t="str">
            <v>m2</v>
          </cell>
          <cell r="E968">
            <v>0</v>
          </cell>
          <cell r="F968">
            <v>0</v>
          </cell>
          <cell r="G968">
            <v>0</v>
          </cell>
          <cell r="H968">
            <v>0</v>
          </cell>
          <cell r="I968">
            <v>0.10999999999999999</v>
          </cell>
          <cell r="J968">
            <v>0</v>
          </cell>
          <cell r="K968">
            <v>0</v>
          </cell>
          <cell r="L968">
            <v>0</v>
          </cell>
          <cell r="M968">
            <v>0</v>
          </cell>
          <cell r="O968" t="str">
            <v>*</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row>
        <row r="969">
          <cell r="B969" t="str">
            <v>中高层洋房</v>
          </cell>
          <cell r="C969" t="str">
            <v>建筑面积</v>
          </cell>
          <cell r="D969" t="str">
            <v>m2</v>
          </cell>
          <cell r="E969">
            <v>0</v>
          </cell>
          <cell r="F969">
            <v>0</v>
          </cell>
          <cell r="G969">
            <v>0</v>
          </cell>
          <cell r="H969">
            <v>0</v>
          </cell>
          <cell r="I969">
            <v>0.10999999999999999</v>
          </cell>
          <cell r="J969">
            <v>0</v>
          </cell>
          <cell r="K969">
            <v>0</v>
          </cell>
          <cell r="L969">
            <v>0</v>
          </cell>
          <cell r="M969">
            <v>0</v>
          </cell>
          <cell r="O969" t="str">
            <v>*</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row>
        <row r="970">
          <cell r="B970" t="str">
            <v>115高层洋房</v>
          </cell>
          <cell r="C970" t="str">
            <v>建筑面积</v>
          </cell>
          <cell r="D970" t="str">
            <v>m2</v>
          </cell>
          <cell r="E970">
            <v>0</v>
          </cell>
          <cell r="F970">
            <v>0</v>
          </cell>
          <cell r="G970">
            <v>0</v>
          </cell>
          <cell r="H970">
            <v>0</v>
          </cell>
          <cell r="I970">
            <v>0.10999999999999999</v>
          </cell>
          <cell r="J970">
            <v>0</v>
          </cell>
          <cell r="K970">
            <v>0</v>
          </cell>
          <cell r="L970">
            <v>0</v>
          </cell>
          <cell r="M970">
            <v>0</v>
          </cell>
          <cell r="O970" t="str">
            <v>*</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row>
        <row r="971">
          <cell r="B971" t="str">
            <v>超高层洋房</v>
          </cell>
          <cell r="C971" t="str">
            <v>建筑面积</v>
          </cell>
          <cell r="D971" t="str">
            <v>m2</v>
          </cell>
          <cell r="E971">
            <v>0</v>
          </cell>
          <cell r="F971">
            <v>0</v>
          </cell>
          <cell r="G971">
            <v>0</v>
          </cell>
          <cell r="H971">
            <v>0</v>
          </cell>
          <cell r="I971">
            <v>0.10999999999999999</v>
          </cell>
          <cell r="J971">
            <v>0</v>
          </cell>
          <cell r="K971">
            <v>0</v>
          </cell>
          <cell r="L971">
            <v>0</v>
          </cell>
          <cell r="M971">
            <v>0</v>
          </cell>
          <cell r="O971" t="str">
            <v>*</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row>
        <row r="972">
          <cell r="B972" t="str">
            <v>公寓</v>
          </cell>
          <cell r="C972" t="str">
            <v>建筑面积</v>
          </cell>
          <cell r="D972" t="str">
            <v>m2</v>
          </cell>
          <cell r="E972">
            <v>0</v>
          </cell>
          <cell r="F972">
            <v>0</v>
          </cell>
          <cell r="G972">
            <v>0</v>
          </cell>
          <cell r="H972">
            <v>0</v>
          </cell>
          <cell r="I972">
            <v>0.10999999999999999</v>
          </cell>
          <cell r="J972">
            <v>0</v>
          </cell>
          <cell r="K972">
            <v>0</v>
          </cell>
          <cell r="L972">
            <v>0</v>
          </cell>
          <cell r="M972">
            <v>0</v>
          </cell>
          <cell r="O972" t="str">
            <v>*</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row>
        <row r="973">
          <cell r="B973" t="str">
            <v>底商</v>
          </cell>
          <cell r="C973" t="str">
            <v>建筑面积</v>
          </cell>
          <cell r="D973" t="str">
            <v>m2</v>
          </cell>
          <cell r="E973">
            <v>2000</v>
          </cell>
          <cell r="F973">
            <v>0</v>
          </cell>
          <cell r="G973">
            <v>0</v>
          </cell>
          <cell r="H973">
            <v>0</v>
          </cell>
          <cell r="I973">
            <v>0.10999999999999999</v>
          </cell>
          <cell r="J973">
            <v>0</v>
          </cell>
          <cell r="K973">
            <v>0</v>
          </cell>
          <cell r="L973">
            <v>0</v>
          </cell>
          <cell r="M973">
            <v>0</v>
          </cell>
          <cell r="O973" t="str">
            <v>*</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row>
        <row r="974">
          <cell r="B974" t="str">
            <v>商业街</v>
          </cell>
          <cell r="C974" t="str">
            <v>建筑面积</v>
          </cell>
          <cell r="D974" t="str">
            <v>m2</v>
          </cell>
          <cell r="E974">
            <v>0</v>
          </cell>
          <cell r="F974">
            <v>0</v>
          </cell>
          <cell r="G974">
            <v>0</v>
          </cell>
          <cell r="H974">
            <v>0</v>
          </cell>
          <cell r="I974">
            <v>0.10999999999999999</v>
          </cell>
          <cell r="J974">
            <v>0</v>
          </cell>
          <cell r="K974">
            <v>0</v>
          </cell>
          <cell r="L974">
            <v>0</v>
          </cell>
          <cell r="M974">
            <v>0</v>
          </cell>
          <cell r="O974" t="str">
            <v>*</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row>
        <row r="975">
          <cell r="B975" t="str">
            <v>综合楼</v>
          </cell>
          <cell r="C975" t="str">
            <v>建筑面积</v>
          </cell>
          <cell r="D975" t="str">
            <v>m2</v>
          </cell>
          <cell r="E975">
            <v>0</v>
          </cell>
          <cell r="F975">
            <v>0</v>
          </cell>
          <cell r="G975">
            <v>0</v>
          </cell>
          <cell r="H975">
            <v>0</v>
          </cell>
          <cell r="I975">
            <v>0.10999999999999999</v>
          </cell>
          <cell r="J975">
            <v>0</v>
          </cell>
          <cell r="K975">
            <v>0</v>
          </cell>
          <cell r="L975">
            <v>0</v>
          </cell>
          <cell r="M975">
            <v>0</v>
          </cell>
          <cell r="O975" t="str">
            <v>*</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row>
        <row r="976">
          <cell r="B976" t="str">
            <v>写字楼</v>
          </cell>
          <cell r="C976" t="str">
            <v>建筑面积</v>
          </cell>
          <cell r="D976" t="str">
            <v>m2</v>
          </cell>
          <cell r="E976">
            <v>0</v>
          </cell>
          <cell r="F976">
            <v>0</v>
          </cell>
          <cell r="G976">
            <v>0</v>
          </cell>
          <cell r="H976">
            <v>0</v>
          </cell>
          <cell r="I976">
            <v>0.10999999999999999</v>
          </cell>
          <cell r="J976">
            <v>0</v>
          </cell>
          <cell r="K976">
            <v>0</v>
          </cell>
          <cell r="L976">
            <v>0</v>
          </cell>
          <cell r="M976">
            <v>0</v>
          </cell>
          <cell r="O976" t="str">
            <v>*</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row>
        <row r="977">
          <cell r="B977" t="str">
            <v>酒店</v>
          </cell>
          <cell r="C977" t="str">
            <v>建筑面积</v>
          </cell>
          <cell r="D977" t="str">
            <v>m2</v>
          </cell>
          <cell r="E977">
            <v>0</v>
          </cell>
          <cell r="F977">
            <v>0</v>
          </cell>
          <cell r="G977">
            <v>0</v>
          </cell>
          <cell r="H977">
            <v>0</v>
          </cell>
          <cell r="I977">
            <v>0.10999999999999999</v>
          </cell>
          <cell r="J977">
            <v>0</v>
          </cell>
          <cell r="K977">
            <v>0</v>
          </cell>
          <cell r="L977">
            <v>0</v>
          </cell>
          <cell r="M977">
            <v>0</v>
          </cell>
          <cell r="O977" t="str">
            <v>*</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row>
        <row r="978">
          <cell r="B978" t="str">
            <v>医院（自持）</v>
          </cell>
          <cell r="C978" t="str">
            <v>建筑面积</v>
          </cell>
          <cell r="D978" t="str">
            <v>m2</v>
          </cell>
          <cell r="E978">
            <v>0</v>
          </cell>
          <cell r="F978">
            <v>0</v>
          </cell>
          <cell r="G978">
            <v>0</v>
          </cell>
          <cell r="H978">
            <v>0</v>
          </cell>
          <cell r="I978">
            <v>0.10999999999999999</v>
          </cell>
          <cell r="J978">
            <v>0</v>
          </cell>
          <cell r="K978">
            <v>0</v>
          </cell>
          <cell r="L978">
            <v>0</v>
          </cell>
          <cell r="M978">
            <v>0</v>
          </cell>
          <cell r="O978" t="str">
            <v>*</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row>
        <row r="979">
          <cell r="B979" t="str">
            <v>地上计容车库</v>
          </cell>
          <cell r="C979" t="str">
            <v>建筑面积</v>
          </cell>
          <cell r="D979" t="str">
            <v>m2</v>
          </cell>
          <cell r="E979">
            <v>0</v>
          </cell>
          <cell r="F979">
            <v>0</v>
          </cell>
          <cell r="G979">
            <v>0</v>
          </cell>
          <cell r="H979">
            <v>0</v>
          </cell>
          <cell r="I979">
            <v>0.10999999999999999</v>
          </cell>
          <cell r="J979">
            <v>0</v>
          </cell>
          <cell r="K979">
            <v>0</v>
          </cell>
          <cell r="L979">
            <v>0</v>
          </cell>
          <cell r="M979">
            <v>0</v>
          </cell>
          <cell r="O979" t="str">
            <v>*</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row>
        <row r="980">
          <cell r="B980" t="str">
            <v>非人防地下室</v>
          </cell>
          <cell r="C980" t="str">
            <v>建筑面积</v>
          </cell>
          <cell r="D980" t="str">
            <v>m2</v>
          </cell>
          <cell r="E980">
            <v>77471.58</v>
          </cell>
          <cell r="F980">
            <v>0</v>
          </cell>
          <cell r="G980">
            <v>0</v>
          </cell>
          <cell r="H980">
            <v>0</v>
          </cell>
          <cell r="I980">
            <v>0.10999999999999999</v>
          </cell>
          <cell r="J980">
            <v>0</v>
          </cell>
          <cell r="K980">
            <v>0</v>
          </cell>
          <cell r="L980">
            <v>0</v>
          </cell>
          <cell r="M980">
            <v>0</v>
          </cell>
          <cell r="O980" t="str">
            <v>*</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row>
        <row r="981">
          <cell r="B981" t="str">
            <v>人防地下室</v>
          </cell>
          <cell r="C981" t="str">
            <v>建筑面积</v>
          </cell>
          <cell r="D981" t="str">
            <v>m2</v>
          </cell>
          <cell r="E981">
            <v>9400</v>
          </cell>
          <cell r="F981">
            <v>0</v>
          </cell>
          <cell r="G981">
            <v>0</v>
          </cell>
          <cell r="H981">
            <v>0</v>
          </cell>
          <cell r="I981">
            <v>0.10999999999999999</v>
          </cell>
          <cell r="J981">
            <v>0</v>
          </cell>
          <cell r="K981">
            <v>0</v>
          </cell>
          <cell r="L981">
            <v>0</v>
          </cell>
          <cell r="M981">
            <v>0</v>
          </cell>
          <cell r="O981" t="str">
            <v>*</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row>
        <row r="982">
          <cell r="B982" t="str">
            <v>独立会所（综合楼）</v>
          </cell>
          <cell r="C982" t="str">
            <v>建筑面积</v>
          </cell>
          <cell r="D982" t="str">
            <v>m2</v>
          </cell>
          <cell r="E982">
            <v>0</v>
          </cell>
          <cell r="F982">
            <v>0</v>
          </cell>
          <cell r="G982">
            <v>0</v>
          </cell>
          <cell r="H982">
            <v>0</v>
          </cell>
          <cell r="I982">
            <v>0.10999999999999999</v>
          </cell>
          <cell r="J982">
            <v>0</v>
          </cell>
          <cell r="K982">
            <v>0</v>
          </cell>
          <cell r="L982">
            <v>0</v>
          </cell>
          <cell r="M982">
            <v>0</v>
          </cell>
          <cell r="O982" t="str">
            <v>*</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row>
        <row r="983">
          <cell r="B983" t="str">
            <v>活动中心</v>
          </cell>
          <cell r="C983" t="str">
            <v>建筑面积</v>
          </cell>
          <cell r="D983" t="str">
            <v>m2</v>
          </cell>
          <cell r="E983">
            <v>0</v>
          </cell>
          <cell r="F983">
            <v>0</v>
          </cell>
          <cell r="G983">
            <v>0</v>
          </cell>
          <cell r="H983">
            <v>0</v>
          </cell>
          <cell r="I983">
            <v>0.10999999999999999</v>
          </cell>
          <cell r="J983">
            <v>0</v>
          </cell>
          <cell r="K983">
            <v>0</v>
          </cell>
          <cell r="L983">
            <v>0</v>
          </cell>
          <cell r="M983">
            <v>0</v>
          </cell>
          <cell r="O983" t="str">
            <v>*</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row>
        <row r="984">
          <cell r="B984" t="str">
            <v>商贸市场</v>
          </cell>
          <cell r="C984" t="str">
            <v>建筑面积</v>
          </cell>
          <cell r="D984" t="str">
            <v>m2</v>
          </cell>
          <cell r="E984">
            <v>0</v>
          </cell>
          <cell r="F984">
            <v>0</v>
          </cell>
          <cell r="G984">
            <v>0</v>
          </cell>
          <cell r="H984">
            <v>0</v>
          </cell>
          <cell r="I984">
            <v>0.10999999999999999</v>
          </cell>
          <cell r="J984">
            <v>0</v>
          </cell>
          <cell r="K984">
            <v>0</v>
          </cell>
          <cell r="L984">
            <v>0</v>
          </cell>
          <cell r="M984">
            <v>0</v>
          </cell>
          <cell r="O984" t="str">
            <v>*</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row>
        <row r="985">
          <cell r="B985" t="str">
            <v>医院</v>
          </cell>
          <cell r="C985" t="str">
            <v>建筑面积</v>
          </cell>
          <cell r="D985" t="str">
            <v>m2</v>
          </cell>
          <cell r="E985">
            <v>0</v>
          </cell>
          <cell r="F985">
            <v>0</v>
          </cell>
          <cell r="G985">
            <v>0</v>
          </cell>
          <cell r="H985">
            <v>0</v>
          </cell>
          <cell r="I985">
            <v>0.10999999999999999</v>
          </cell>
          <cell r="J985">
            <v>0</v>
          </cell>
          <cell r="K985">
            <v>0</v>
          </cell>
          <cell r="L985">
            <v>0</v>
          </cell>
          <cell r="M985">
            <v>0</v>
          </cell>
          <cell r="O985" t="str">
            <v>*</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row>
        <row r="986">
          <cell r="B986" t="str">
            <v>幼儿园</v>
          </cell>
          <cell r="C986" t="str">
            <v>建筑面积</v>
          </cell>
          <cell r="D986" t="str">
            <v>m2</v>
          </cell>
          <cell r="E986">
            <v>0</v>
          </cell>
          <cell r="F986">
            <v>0</v>
          </cell>
          <cell r="G986">
            <v>0</v>
          </cell>
          <cell r="H986">
            <v>0</v>
          </cell>
          <cell r="I986">
            <v>0.10999999999999999</v>
          </cell>
          <cell r="J986">
            <v>0</v>
          </cell>
          <cell r="K986">
            <v>0</v>
          </cell>
          <cell r="L986">
            <v>0</v>
          </cell>
          <cell r="M986">
            <v>0</v>
          </cell>
          <cell r="O986" t="str">
            <v>*</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row>
        <row r="987">
          <cell r="B987" t="str">
            <v>学校</v>
          </cell>
          <cell r="C987" t="str">
            <v>建筑面积</v>
          </cell>
          <cell r="D987" t="str">
            <v>m2</v>
          </cell>
          <cell r="E987">
            <v>0</v>
          </cell>
          <cell r="F987">
            <v>0</v>
          </cell>
          <cell r="G987">
            <v>0</v>
          </cell>
          <cell r="H987">
            <v>0</v>
          </cell>
          <cell r="I987">
            <v>0.10999999999999999</v>
          </cell>
          <cell r="J987">
            <v>0</v>
          </cell>
          <cell r="K987">
            <v>0</v>
          </cell>
          <cell r="L987">
            <v>0</v>
          </cell>
          <cell r="M987">
            <v>0</v>
          </cell>
          <cell r="O987" t="str">
            <v>*</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row>
        <row r="988">
          <cell r="B988" t="str">
            <v>员工宿舍</v>
          </cell>
          <cell r="C988" t="str">
            <v>建筑面积</v>
          </cell>
          <cell r="D988" t="str">
            <v>m2</v>
          </cell>
          <cell r="E988">
            <v>0</v>
          </cell>
          <cell r="F988">
            <v>0</v>
          </cell>
          <cell r="G988">
            <v>0</v>
          </cell>
          <cell r="H988">
            <v>0</v>
          </cell>
          <cell r="I988">
            <v>0.10999999999999999</v>
          </cell>
          <cell r="J988">
            <v>0</v>
          </cell>
          <cell r="K988">
            <v>0</v>
          </cell>
          <cell r="L988">
            <v>0</v>
          </cell>
          <cell r="M988">
            <v>0</v>
          </cell>
          <cell r="O988" t="str">
            <v>*</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row>
        <row r="989">
          <cell r="A989" t="str">
            <v>03.03.02</v>
          </cell>
          <cell r="B989" t="str">
            <v>太阳能热水工程</v>
          </cell>
          <cell r="C989" t="str">
            <v>建筑面积</v>
          </cell>
          <cell r="D989" t="str">
            <v>m2</v>
          </cell>
          <cell r="E989">
            <v>241586.90000000002</v>
          </cell>
          <cell r="F989">
            <v>0</v>
          </cell>
          <cell r="G989">
            <v>0</v>
          </cell>
          <cell r="I989">
            <v>0</v>
          </cell>
          <cell r="J989">
            <v>0</v>
          </cell>
          <cell r="K989">
            <v>0</v>
          </cell>
          <cell r="L989">
            <v>0</v>
          </cell>
          <cell r="M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row>
        <row r="990">
          <cell r="B990">
            <v>100</v>
          </cell>
          <cell r="C990" t="str">
            <v>建筑面积</v>
          </cell>
          <cell r="D990" t="str">
            <v>m2</v>
          </cell>
          <cell r="E990">
            <v>0</v>
          </cell>
          <cell r="F990">
            <v>0</v>
          </cell>
          <cell r="G990">
            <v>0</v>
          </cell>
          <cell r="H990">
            <v>0</v>
          </cell>
          <cell r="I990">
            <v>0.10999999999999999</v>
          </cell>
          <cell r="J990">
            <v>0</v>
          </cell>
          <cell r="K990">
            <v>0</v>
          </cell>
          <cell r="L990">
            <v>0</v>
          </cell>
          <cell r="M990">
            <v>0</v>
          </cell>
          <cell r="O990" t="str">
            <v>*</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row>
        <row r="991">
          <cell r="B991">
            <v>125</v>
          </cell>
          <cell r="C991" t="str">
            <v>建筑面积</v>
          </cell>
          <cell r="D991" t="str">
            <v>m2</v>
          </cell>
          <cell r="E991">
            <v>26670</v>
          </cell>
          <cell r="F991">
            <v>0</v>
          </cell>
          <cell r="G991">
            <v>0</v>
          </cell>
          <cell r="H991">
            <v>0</v>
          </cell>
          <cell r="I991">
            <v>0.10999999999999999</v>
          </cell>
          <cell r="J991">
            <v>0</v>
          </cell>
          <cell r="K991">
            <v>0</v>
          </cell>
          <cell r="L991">
            <v>0</v>
          </cell>
          <cell r="M991">
            <v>0</v>
          </cell>
          <cell r="O991" t="str">
            <v>*</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row>
        <row r="992">
          <cell r="B992">
            <v>150</v>
          </cell>
          <cell r="C992" t="str">
            <v>建筑面积</v>
          </cell>
          <cell r="D992" t="str">
            <v>m2</v>
          </cell>
          <cell r="E992">
            <v>2338</v>
          </cell>
          <cell r="F992">
            <v>0</v>
          </cell>
          <cell r="G992">
            <v>0</v>
          </cell>
          <cell r="H992">
            <v>0</v>
          </cell>
          <cell r="I992">
            <v>0.10999999999999999</v>
          </cell>
          <cell r="J992">
            <v>0</v>
          </cell>
          <cell r="K992">
            <v>0</v>
          </cell>
          <cell r="L992">
            <v>0</v>
          </cell>
          <cell r="M992">
            <v>0</v>
          </cell>
          <cell r="O992" t="str">
            <v>*</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row>
        <row r="993">
          <cell r="B993" t="str">
            <v>1T4(30F)</v>
          </cell>
          <cell r="C993" t="str">
            <v>建筑面积</v>
          </cell>
          <cell r="D993" t="str">
            <v>m2</v>
          </cell>
          <cell r="E993">
            <v>100279.12</v>
          </cell>
          <cell r="F993">
            <v>0</v>
          </cell>
          <cell r="G993">
            <v>0</v>
          </cell>
          <cell r="H993">
            <v>0</v>
          </cell>
          <cell r="I993">
            <v>0.10999999999999999</v>
          </cell>
          <cell r="J993">
            <v>0</v>
          </cell>
          <cell r="K993">
            <v>0</v>
          </cell>
          <cell r="L993">
            <v>0</v>
          </cell>
          <cell r="M993">
            <v>0</v>
          </cell>
          <cell r="O993" t="str">
            <v>*</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row>
        <row r="994">
          <cell r="B994" t="str">
            <v>1T3(30F)</v>
          </cell>
          <cell r="C994" t="str">
            <v>建筑面积</v>
          </cell>
          <cell r="D994" t="str">
            <v>m2</v>
          </cell>
          <cell r="E994">
            <v>23428.2</v>
          </cell>
          <cell r="F994">
            <v>0</v>
          </cell>
          <cell r="G994">
            <v>0</v>
          </cell>
          <cell r="H994">
            <v>0</v>
          </cell>
          <cell r="I994">
            <v>0.10999999999999999</v>
          </cell>
          <cell r="J994">
            <v>0</v>
          </cell>
          <cell r="K994">
            <v>0</v>
          </cell>
          <cell r="L994">
            <v>0</v>
          </cell>
          <cell r="M994">
            <v>0</v>
          </cell>
          <cell r="O994" t="str">
            <v>*</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row>
        <row r="995">
          <cell r="B995" t="str">
            <v>LOFT(31F)</v>
          </cell>
          <cell r="C995" t="str">
            <v>建筑面积</v>
          </cell>
          <cell r="D995" t="str">
            <v>m2</v>
          </cell>
          <cell r="E995">
            <v>0</v>
          </cell>
          <cell r="F995">
            <v>0</v>
          </cell>
          <cell r="G995">
            <v>0</v>
          </cell>
          <cell r="H995">
            <v>0</v>
          </cell>
          <cell r="I995">
            <v>0.10999999999999999</v>
          </cell>
          <cell r="J995">
            <v>0</v>
          </cell>
          <cell r="K995">
            <v>0</v>
          </cell>
          <cell r="L995">
            <v>0</v>
          </cell>
          <cell r="M995">
            <v>0</v>
          </cell>
          <cell r="O995" t="str">
            <v>*</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row>
        <row r="996">
          <cell r="B996" t="str">
            <v>1T2(31F)</v>
          </cell>
          <cell r="C996" t="str">
            <v>建筑面积</v>
          </cell>
          <cell r="D996" t="str">
            <v>m2</v>
          </cell>
          <cell r="E996">
            <v>0</v>
          </cell>
          <cell r="F996">
            <v>0</v>
          </cell>
          <cell r="G996">
            <v>0</v>
          </cell>
          <cell r="H996">
            <v>0</v>
          </cell>
          <cell r="I996">
            <v>0.10999999999999999</v>
          </cell>
          <cell r="J996">
            <v>0</v>
          </cell>
          <cell r="K996">
            <v>0</v>
          </cell>
          <cell r="L996">
            <v>0</v>
          </cell>
          <cell r="M996">
            <v>0</v>
          </cell>
          <cell r="O996" t="str">
            <v>*</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row>
        <row r="997">
          <cell r="B997" t="str">
            <v>1T8(32F)</v>
          </cell>
          <cell r="C997" t="str">
            <v>建筑面积</v>
          </cell>
          <cell r="D997" t="str">
            <v>m2</v>
          </cell>
          <cell r="E997">
            <v>0</v>
          </cell>
          <cell r="F997">
            <v>0</v>
          </cell>
          <cell r="G997">
            <v>0</v>
          </cell>
          <cell r="H997">
            <v>0</v>
          </cell>
          <cell r="I997">
            <v>0.10999999999999999</v>
          </cell>
          <cell r="J997">
            <v>0</v>
          </cell>
          <cell r="K997">
            <v>0</v>
          </cell>
          <cell r="L997">
            <v>0</v>
          </cell>
          <cell r="M997">
            <v>0</v>
          </cell>
          <cell r="O997" t="str">
            <v>*</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row>
        <row r="998">
          <cell r="B998" t="str">
            <v>中高层洋房</v>
          </cell>
          <cell r="C998" t="str">
            <v>建筑面积</v>
          </cell>
          <cell r="D998" t="str">
            <v>m2</v>
          </cell>
          <cell r="E998">
            <v>0</v>
          </cell>
          <cell r="F998">
            <v>0</v>
          </cell>
          <cell r="G998">
            <v>0</v>
          </cell>
          <cell r="H998">
            <v>0</v>
          </cell>
          <cell r="I998">
            <v>0.10999999999999999</v>
          </cell>
          <cell r="J998">
            <v>0</v>
          </cell>
          <cell r="K998">
            <v>0</v>
          </cell>
          <cell r="L998">
            <v>0</v>
          </cell>
          <cell r="M998">
            <v>0</v>
          </cell>
          <cell r="O998" t="str">
            <v>*</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row>
        <row r="999">
          <cell r="B999" t="str">
            <v>115高层洋房</v>
          </cell>
          <cell r="C999" t="str">
            <v>建筑面积</v>
          </cell>
          <cell r="D999" t="str">
            <v>m2</v>
          </cell>
          <cell r="E999">
            <v>0</v>
          </cell>
          <cell r="F999">
            <v>0</v>
          </cell>
          <cell r="G999">
            <v>0</v>
          </cell>
          <cell r="H999">
            <v>0</v>
          </cell>
          <cell r="I999">
            <v>0.10999999999999999</v>
          </cell>
          <cell r="J999">
            <v>0</v>
          </cell>
          <cell r="K999">
            <v>0</v>
          </cell>
          <cell r="L999">
            <v>0</v>
          </cell>
          <cell r="M999">
            <v>0</v>
          </cell>
          <cell r="O999" t="str">
            <v>*</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row>
        <row r="1000">
          <cell r="B1000" t="str">
            <v>超高层洋房</v>
          </cell>
          <cell r="C1000" t="str">
            <v>建筑面积</v>
          </cell>
          <cell r="D1000" t="str">
            <v>m2</v>
          </cell>
          <cell r="E1000">
            <v>0</v>
          </cell>
          <cell r="F1000">
            <v>0</v>
          </cell>
          <cell r="G1000">
            <v>0</v>
          </cell>
          <cell r="H1000">
            <v>0</v>
          </cell>
          <cell r="I1000">
            <v>0.10999999999999999</v>
          </cell>
          <cell r="J1000">
            <v>0</v>
          </cell>
          <cell r="K1000">
            <v>0</v>
          </cell>
          <cell r="L1000">
            <v>0</v>
          </cell>
          <cell r="M1000">
            <v>0</v>
          </cell>
          <cell r="O1000" t="str">
            <v>*</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row>
        <row r="1001">
          <cell r="B1001" t="str">
            <v>公寓</v>
          </cell>
          <cell r="C1001" t="str">
            <v>建筑面积</v>
          </cell>
          <cell r="D1001" t="str">
            <v>m2</v>
          </cell>
          <cell r="E1001">
            <v>0</v>
          </cell>
          <cell r="F1001">
            <v>0</v>
          </cell>
          <cell r="G1001">
            <v>0</v>
          </cell>
          <cell r="H1001">
            <v>0</v>
          </cell>
          <cell r="I1001">
            <v>0.10999999999999999</v>
          </cell>
          <cell r="J1001">
            <v>0</v>
          </cell>
          <cell r="K1001">
            <v>0</v>
          </cell>
          <cell r="L1001">
            <v>0</v>
          </cell>
          <cell r="M1001">
            <v>0</v>
          </cell>
          <cell r="O1001" t="str">
            <v>*</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row>
        <row r="1002">
          <cell r="B1002" t="str">
            <v>底商</v>
          </cell>
          <cell r="C1002" t="str">
            <v>建筑面积</v>
          </cell>
          <cell r="D1002" t="str">
            <v>m2</v>
          </cell>
          <cell r="E1002">
            <v>2000</v>
          </cell>
          <cell r="F1002">
            <v>0</v>
          </cell>
          <cell r="G1002">
            <v>0</v>
          </cell>
          <cell r="H1002">
            <v>0</v>
          </cell>
          <cell r="I1002">
            <v>0.10999999999999999</v>
          </cell>
          <cell r="J1002">
            <v>0</v>
          </cell>
          <cell r="K1002">
            <v>0</v>
          </cell>
          <cell r="L1002">
            <v>0</v>
          </cell>
          <cell r="M1002">
            <v>0</v>
          </cell>
          <cell r="O1002" t="str">
            <v>*</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row>
        <row r="1003">
          <cell r="B1003" t="str">
            <v>商业街</v>
          </cell>
          <cell r="C1003" t="str">
            <v>建筑面积</v>
          </cell>
          <cell r="D1003" t="str">
            <v>m2</v>
          </cell>
          <cell r="E1003">
            <v>0</v>
          </cell>
          <cell r="F1003">
            <v>0</v>
          </cell>
          <cell r="G1003">
            <v>0</v>
          </cell>
          <cell r="H1003">
            <v>0</v>
          </cell>
          <cell r="I1003">
            <v>0.10999999999999999</v>
          </cell>
          <cell r="J1003">
            <v>0</v>
          </cell>
          <cell r="K1003">
            <v>0</v>
          </cell>
          <cell r="L1003">
            <v>0</v>
          </cell>
          <cell r="M1003">
            <v>0</v>
          </cell>
          <cell r="O1003" t="str">
            <v>*</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row>
        <row r="1004">
          <cell r="B1004" t="str">
            <v>综合楼</v>
          </cell>
          <cell r="C1004" t="str">
            <v>建筑面积</v>
          </cell>
          <cell r="D1004" t="str">
            <v>m2</v>
          </cell>
          <cell r="E1004">
            <v>0</v>
          </cell>
          <cell r="F1004">
            <v>0</v>
          </cell>
          <cell r="G1004">
            <v>0</v>
          </cell>
          <cell r="H1004">
            <v>0</v>
          </cell>
          <cell r="I1004">
            <v>0.10999999999999999</v>
          </cell>
          <cell r="J1004">
            <v>0</v>
          </cell>
          <cell r="K1004">
            <v>0</v>
          </cell>
          <cell r="L1004">
            <v>0</v>
          </cell>
          <cell r="M1004">
            <v>0</v>
          </cell>
          <cell r="O1004" t="str">
            <v>*</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row>
        <row r="1005">
          <cell r="B1005" t="str">
            <v>写字楼</v>
          </cell>
          <cell r="C1005" t="str">
            <v>建筑面积</v>
          </cell>
          <cell r="D1005" t="str">
            <v>m2</v>
          </cell>
          <cell r="E1005">
            <v>0</v>
          </cell>
          <cell r="F1005">
            <v>0</v>
          </cell>
          <cell r="G1005">
            <v>0</v>
          </cell>
          <cell r="H1005">
            <v>0</v>
          </cell>
          <cell r="I1005">
            <v>0.10999999999999999</v>
          </cell>
          <cell r="J1005">
            <v>0</v>
          </cell>
          <cell r="K1005">
            <v>0</v>
          </cell>
          <cell r="L1005">
            <v>0</v>
          </cell>
          <cell r="M1005">
            <v>0</v>
          </cell>
          <cell r="O1005" t="str">
            <v>*</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row>
        <row r="1006">
          <cell r="B1006" t="str">
            <v>酒店</v>
          </cell>
          <cell r="C1006" t="str">
            <v>建筑面积</v>
          </cell>
          <cell r="D1006" t="str">
            <v>m2</v>
          </cell>
          <cell r="E1006">
            <v>0</v>
          </cell>
          <cell r="F1006">
            <v>0</v>
          </cell>
          <cell r="G1006">
            <v>0</v>
          </cell>
          <cell r="H1006">
            <v>0</v>
          </cell>
          <cell r="I1006">
            <v>0.10999999999999999</v>
          </cell>
          <cell r="J1006">
            <v>0</v>
          </cell>
          <cell r="K1006">
            <v>0</v>
          </cell>
          <cell r="L1006">
            <v>0</v>
          </cell>
          <cell r="M1006">
            <v>0</v>
          </cell>
          <cell r="O1006" t="str">
            <v>*</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row>
        <row r="1007">
          <cell r="B1007" t="str">
            <v>医院（自持）</v>
          </cell>
          <cell r="C1007" t="str">
            <v>建筑面积</v>
          </cell>
          <cell r="D1007" t="str">
            <v>m2</v>
          </cell>
          <cell r="E1007">
            <v>0</v>
          </cell>
          <cell r="F1007">
            <v>0</v>
          </cell>
          <cell r="G1007">
            <v>0</v>
          </cell>
          <cell r="H1007">
            <v>0</v>
          </cell>
          <cell r="I1007">
            <v>0.10999999999999999</v>
          </cell>
          <cell r="J1007">
            <v>0</v>
          </cell>
          <cell r="K1007">
            <v>0</v>
          </cell>
          <cell r="L1007">
            <v>0</v>
          </cell>
          <cell r="M1007">
            <v>0</v>
          </cell>
          <cell r="O1007" t="str">
            <v>*</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row>
        <row r="1008">
          <cell r="B1008" t="str">
            <v>地上计容车库</v>
          </cell>
          <cell r="C1008" t="str">
            <v>建筑面积</v>
          </cell>
          <cell r="D1008" t="str">
            <v>m2</v>
          </cell>
          <cell r="E1008">
            <v>0</v>
          </cell>
          <cell r="F1008">
            <v>0</v>
          </cell>
          <cell r="G1008">
            <v>0</v>
          </cell>
          <cell r="H1008">
            <v>0</v>
          </cell>
          <cell r="I1008">
            <v>0.10999999999999999</v>
          </cell>
          <cell r="J1008">
            <v>0</v>
          </cell>
          <cell r="K1008">
            <v>0</v>
          </cell>
          <cell r="L1008">
            <v>0</v>
          </cell>
          <cell r="M1008">
            <v>0</v>
          </cell>
          <cell r="O1008" t="str">
            <v>*</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row>
        <row r="1009">
          <cell r="B1009" t="str">
            <v>非人防地下室</v>
          </cell>
          <cell r="C1009" t="str">
            <v>建筑面积</v>
          </cell>
          <cell r="D1009" t="str">
            <v>m2</v>
          </cell>
          <cell r="E1009">
            <v>77471.58</v>
          </cell>
          <cell r="F1009">
            <v>0</v>
          </cell>
          <cell r="G1009">
            <v>0</v>
          </cell>
          <cell r="H1009">
            <v>0</v>
          </cell>
          <cell r="I1009">
            <v>0.10999999999999999</v>
          </cell>
          <cell r="J1009">
            <v>0</v>
          </cell>
          <cell r="K1009">
            <v>0</v>
          </cell>
          <cell r="L1009">
            <v>0</v>
          </cell>
          <cell r="M1009">
            <v>0</v>
          </cell>
          <cell r="O1009" t="str">
            <v>*</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row>
        <row r="1010">
          <cell r="B1010" t="str">
            <v>人防地下室</v>
          </cell>
          <cell r="C1010" t="str">
            <v>建筑面积</v>
          </cell>
          <cell r="D1010" t="str">
            <v>m2</v>
          </cell>
          <cell r="E1010">
            <v>9400</v>
          </cell>
          <cell r="F1010">
            <v>0</v>
          </cell>
          <cell r="G1010">
            <v>0</v>
          </cell>
          <cell r="H1010">
            <v>0</v>
          </cell>
          <cell r="I1010">
            <v>0.10999999999999999</v>
          </cell>
          <cell r="J1010">
            <v>0</v>
          </cell>
          <cell r="K1010">
            <v>0</v>
          </cell>
          <cell r="L1010">
            <v>0</v>
          </cell>
          <cell r="M1010">
            <v>0</v>
          </cell>
          <cell r="O1010" t="str">
            <v>*</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row>
        <row r="1011">
          <cell r="B1011" t="str">
            <v>独立会所（综合楼）</v>
          </cell>
          <cell r="C1011" t="str">
            <v>建筑面积</v>
          </cell>
          <cell r="D1011" t="str">
            <v>m2</v>
          </cell>
          <cell r="E1011">
            <v>0</v>
          </cell>
          <cell r="F1011">
            <v>0</v>
          </cell>
          <cell r="G1011">
            <v>0</v>
          </cell>
          <cell r="H1011">
            <v>0</v>
          </cell>
          <cell r="I1011">
            <v>0.10999999999999999</v>
          </cell>
          <cell r="J1011">
            <v>0</v>
          </cell>
          <cell r="K1011">
            <v>0</v>
          </cell>
          <cell r="L1011">
            <v>0</v>
          </cell>
          <cell r="M1011">
            <v>0</v>
          </cell>
          <cell r="O1011" t="str">
            <v>*</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row>
        <row r="1012">
          <cell r="B1012" t="str">
            <v>活动中心</v>
          </cell>
          <cell r="C1012" t="str">
            <v>建筑面积</v>
          </cell>
          <cell r="D1012" t="str">
            <v>m2</v>
          </cell>
          <cell r="E1012">
            <v>0</v>
          </cell>
          <cell r="F1012">
            <v>0</v>
          </cell>
          <cell r="G1012">
            <v>0</v>
          </cell>
          <cell r="H1012">
            <v>0</v>
          </cell>
          <cell r="I1012">
            <v>0.10999999999999999</v>
          </cell>
          <cell r="J1012">
            <v>0</v>
          </cell>
          <cell r="K1012">
            <v>0</v>
          </cell>
          <cell r="L1012">
            <v>0</v>
          </cell>
          <cell r="M1012">
            <v>0</v>
          </cell>
          <cell r="O1012" t="str">
            <v>*</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row>
        <row r="1013">
          <cell r="B1013" t="str">
            <v>商贸市场</v>
          </cell>
          <cell r="C1013" t="str">
            <v>建筑面积</v>
          </cell>
          <cell r="D1013" t="str">
            <v>m2</v>
          </cell>
          <cell r="E1013">
            <v>0</v>
          </cell>
          <cell r="F1013">
            <v>0</v>
          </cell>
          <cell r="G1013">
            <v>0</v>
          </cell>
          <cell r="H1013">
            <v>0</v>
          </cell>
          <cell r="I1013">
            <v>0.10999999999999999</v>
          </cell>
          <cell r="J1013">
            <v>0</v>
          </cell>
          <cell r="K1013">
            <v>0</v>
          </cell>
          <cell r="L1013">
            <v>0</v>
          </cell>
          <cell r="M1013">
            <v>0</v>
          </cell>
          <cell r="O1013" t="str">
            <v>*</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row>
        <row r="1014">
          <cell r="B1014" t="str">
            <v>医院</v>
          </cell>
          <cell r="C1014" t="str">
            <v>建筑面积</v>
          </cell>
          <cell r="D1014" t="str">
            <v>m2</v>
          </cell>
          <cell r="E1014">
            <v>0</v>
          </cell>
          <cell r="F1014">
            <v>0</v>
          </cell>
          <cell r="G1014">
            <v>0</v>
          </cell>
          <cell r="H1014">
            <v>0</v>
          </cell>
          <cell r="I1014">
            <v>0.10999999999999999</v>
          </cell>
          <cell r="J1014">
            <v>0</v>
          </cell>
          <cell r="K1014">
            <v>0</v>
          </cell>
          <cell r="L1014">
            <v>0</v>
          </cell>
          <cell r="M1014">
            <v>0</v>
          </cell>
          <cell r="O1014" t="str">
            <v>*</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row>
        <row r="1015">
          <cell r="B1015" t="str">
            <v>幼儿园</v>
          </cell>
          <cell r="C1015" t="str">
            <v>建筑面积</v>
          </cell>
          <cell r="D1015" t="str">
            <v>m2</v>
          </cell>
          <cell r="E1015">
            <v>0</v>
          </cell>
          <cell r="F1015">
            <v>0</v>
          </cell>
          <cell r="G1015">
            <v>0</v>
          </cell>
          <cell r="H1015">
            <v>0</v>
          </cell>
          <cell r="I1015">
            <v>0.10999999999999999</v>
          </cell>
          <cell r="J1015">
            <v>0</v>
          </cell>
          <cell r="K1015">
            <v>0</v>
          </cell>
          <cell r="L1015">
            <v>0</v>
          </cell>
          <cell r="M1015">
            <v>0</v>
          </cell>
          <cell r="O1015" t="str">
            <v>*</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row>
        <row r="1016">
          <cell r="B1016" t="str">
            <v>学校</v>
          </cell>
          <cell r="C1016" t="str">
            <v>建筑面积</v>
          </cell>
          <cell r="D1016" t="str">
            <v>m2</v>
          </cell>
          <cell r="E1016">
            <v>0</v>
          </cell>
          <cell r="F1016">
            <v>0</v>
          </cell>
          <cell r="G1016">
            <v>0</v>
          </cell>
          <cell r="H1016">
            <v>0</v>
          </cell>
          <cell r="I1016">
            <v>0.10999999999999999</v>
          </cell>
          <cell r="J1016">
            <v>0</v>
          </cell>
          <cell r="K1016">
            <v>0</v>
          </cell>
          <cell r="L1016">
            <v>0</v>
          </cell>
          <cell r="M1016">
            <v>0</v>
          </cell>
          <cell r="O1016" t="str">
            <v>*</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row>
        <row r="1017">
          <cell r="B1017" t="str">
            <v>员工宿舍</v>
          </cell>
          <cell r="C1017" t="str">
            <v>建筑面积</v>
          </cell>
          <cell r="D1017" t="str">
            <v>m2</v>
          </cell>
          <cell r="E1017">
            <v>0</v>
          </cell>
          <cell r="F1017">
            <v>0</v>
          </cell>
          <cell r="G1017">
            <v>0</v>
          </cell>
          <cell r="H1017">
            <v>0</v>
          </cell>
          <cell r="I1017">
            <v>0.10999999999999999</v>
          </cell>
          <cell r="J1017">
            <v>0</v>
          </cell>
          <cell r="K1017">
            <v>0</v>
          </cell>
          <cell r="L1017">
            <v>0</v>
          </cell>
          <cell r="M1017">
            <v>0</v>
          </cell>
          <cell r="O1017" t="str">
            <v>*</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row>
        <row r="1018">
          <cell r="A1018" t="str">
            <v>03.03.03</v>
          </cell>
          <cell r="B1018" t="str">
            <v>单体智能化工程</v>
          </cell>
          <cell r="C1018" t="str">
            <v>建筑面积</v>
          </cell>
          <cell r="D1018" t="str">
            <v>m2</v>
          </cell>
          <cell r="E1018">
            <v>241586.90000000002</v>
          </cell>
          <cell r="F1018">
            <v>11.688647025149127</v>
          </cell>
          <cell r="G1018">
            <v>2823824</v>
          </cell>
          <cell r="I1018">
            <v>0.1099999999999999</v>
          </cell>
          <cell r="J1018">
            <v>10.530312635269485</v>
          </cell>
          <cell r="K1018">
            <v>1.1583343898796414</v>
          </cell>
          <cell r="L1018">
            <v>2543985.5855855858</v>
          </cell>
          <cell r="M1018">
            <v>279838.4144144142</v>
          </cell>
          <cell r="P1018">
            <v>0</v>
          </cell>
          <cell r="Q1018">
            <v>529918.91891891893</v>
          </cell>
          <cell r="R1018">
            <v>35327.927927927929</v>
          </cell>
          <cell r="S1018">
            <v>1670630.6306306308</v>
          </cell>
          <cell r="T1018">
            <v>308108.10810810811</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2543985.5855855858</v>
          </cell>
          <cell r="AS1018">
            <v>0</v>
          </cell>
        </row>
        <row r="1019">
          <cell r="B1019">
            <v>100</v>
          </cell>
          <cell r="C1019" t="str">
            <v>户数</v>
          </cell>
          <cell r="D1019" t="str">
            <v>户</v>
          </cell>
          <cell r="E1019">
            <v>0</v>
          </cell>
          <cell r="F1019">
            <v>0</v>
          </cell>
          <cell r="G1019">
            <v>0</v>
          </cell>
          <cell r="H1019">
            <v>0</v>
          </cell>
          <cell r="I1019">
            <v>0.10999999999999999</v>
          </cell>
          <cell r="J1019">
            <v>0</v>
          </cell>
          <cell r="K1019">
            <v>0</v>
          </cell>
          <cell r="L1019">
            <v>0</v>
          </cell>
          <cell r="M1019">
            <v>0</v>
          </cell>
          <cell r="N1019" t="str">
            <v>按2800元/户计取，考虑APP入户等智能化方案，缩减后期管理费用</v>
          </cell>
          <cell r="O1019" t="str">
            <v>*</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row>
        <row r="1020">
          <cell r="B1020">
            <v>125</v>
          </cell>
          <cell r="C1020" t="str">
            <v>户数</v>
          </cell>
          <cell r="D1020" t="str">
            <v>户</v>
          </cell>
          <cell r="E1020">
            <v>210</v>
          </cell>
          <cell r="F1020">
            <v>2801</v>
          </cell>
          <cell r="G1020">
            <v>588210</v>
          </cell>
          <cell r="H1020">
            <v>0</v>
          </cell>
          <cell r="I1020">
            <v>0.10999999999999999</v>
          </cell>
          <cell r="J1020">
            <v>2523.4234234234236</v>
          </cell>
          <cell r="K1020">
            <v>277.57657657657637</v>
          </cell>
          <cell r="L1020">
            <v>529918.91891891893</v>
          </cell>
          <cell r="M1020">
            <v>58291.081081081065</v>
          </cell>
          <cell r="O1020" t="str">
            <v>*</v>
          </cell>
          <cell r="P1020">
            <v>0</v>
          </cell>
          <cell r="Q1020">
            <v>529918.91891891893</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529918.91891891893</v>
          </cell>
          <cell r="AS1020">
            <v>0</v>
          </cell>
        </row>
        <row r="1021">
          <cell r="B1021">
            <v>150</v>
          </cell>
          <cell r="C1021" t="str">
            <v>户数</v>
          </cell>
          <cell r="D1021" t="str">
            <v>户</v>
          </cell>
          <cell r="E1021">
            <v>14</v>
          </cell>
          <cell r="F1021">
            <v>2801</v>
          </cell>
          <cell r="G1021">
            <v>39214</v>
          </cell>
          <cell r="H1021">
            <v>0</v>
          </cell>
          <cell r="I1021">
            <v>0.10999999999999999</v>
          </cell>
          <cell r="J1021">
            <v>2523.4234234234236</v>
          </cell>
          <cell r="K1021">
            <v>277.57657657657637</v>
          </cell>
          <cell r="L1021">
            <v>35327.927927927929</v>
          </cell>
          <cell r="M1021">
            <v>3886.072072072071</v>
          </cell>
          <cell r="N1021" t="str">
            <v>按2800元/户计取，考虑APP入户等智能化方案，缩减后期管理费用</v>
          </cell>
          <cell r="O1021" t="str">
            <v>*</v>
          </cell>
          <cell r="P1021">
            <v>0</v>
          </cell>
          <cell r="Q1021">
            <v>0</v>
          </cell>
          <cell r="R1021">
            <v>35327.927927927929</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35327.927927927929</v>
          </cell>
          <cell r="AS1021">
            <v>0</v>
          </cell>
        </row>
        <row r="1022">
          <cell r="B1022" t="str">
            <v>1T4(30F)</v>
          </cell>
          <cell r="C1022" t="str">
            <v>户数</v>
          </cell>
          <cell r="D1022" t="str">
            <v>户</v>
          </cell>
          <cell r="E1022">
            <v>976</v>
          </cell>
          <cell r="F1022">
            <v>1900</v>
          </cell>
          <cell r="G1022">
            <v>1854400</v>
          </cell>
          <cell r="H1022">
            <v>0</v>
          </cell>
          <cell r="I1022">
            <v>0.10999999999999999</v>
          </cell>
          <cell r="J1022">
            <v>1711.7117117117118</v>
          </cell>
          <cell r="K1022">
            <v>188.28828828828819</v>
          </cell>
          <cell r="L1022">
            <v>1670630.6306306308</v>
          </cell>
          <cell r="M1022">
            <v>183769.36936936923</v>
          </cell>
          <cell r="O1022" t="str">
            <v>*</v>
          </cell>
          <cell r="P1022">
            <v>0</v>
          </cell>
          <cell r="Q1022">
            <v>0</v>
          </cell>
          <cell r="R1022">
            <v>0</v>
          </cell>
          <cell r="S1022">
            <v>1670630.6306306308</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1670630.6306306308</v>
          </cell>
          <cell r="AS1022">
            <v>0</v>
          </cell>
        </row>
        <row r="1023">
          <cell r="B1023" t="str">
            <v>1T3(30F)</v>
          </cell>
          <cell r="C1023" t="str">
            <v>户数</v>
          </cell>
          <cell r="D1023" t="str">
            <v>户</v>
          </cell>
          <cell r="E1023">
            <v>180</v>
          </cell>
          <cell r="F1023">
            <v>1900</v>
          </cell>
          <cell r="G1023">
            <v>342000</v>
          </cell>
          <cell r="H1023">
            <v>0</v>
          </cell>
          <cell r="I1023">
            <v>0.10999999999999999</v>
          </cell>
          <cell r="J1023">
            <v>1711.7117117117118</v>
          </cell>
          <cell r="K1023">
            <v>188.28828828828819</v>
          </cell>
          <cell r="L1023">
            <v>308108.10810810811</v>
          </cell>
          <cell r="M1023">
            <v>33891.891891891893</v>
          </cell>
          <cell r="N1023" t="str">
            <v>按2800元/户计取，考虑APP入户等智能化方案，缩减后期管理费用</v>
          </cell>
          <cell r="O1023" t="str">
            <v>*</v>
          </cell>
          <cell r="P1023">
            <v>0</v>
          </cell>
          <cell r="Q1023">
            <v>0</v>
          </cell>
          <cell r="R1023">
            <v>0</v>
          </cell>
          <cell r="S1023">
            <v>0</v>
          </cell>
          <cell r="T1023">
            <v>308108.10810810811</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308108.10810810811</v>
          </cell>
          <cell r="AS1023">
            <v>0</v>
          </cell>
        </row>
        <row r="1024">
          <cell r="B1024" t="str">
            <v>LOFT(31F)</v>
          </cell>
          <cell r="C1024" t="str">
            <v>户数</v>
          </cell>
          <cell r="D1024" t="str">
            <v>户</v>
          </cell>
          <cell r="E1024">
            <v>0</v>
          </cell>
          <cell r="F1024">
            <v>1902</v>
          </cell>
          <cell r="G1024">
            <v>0</v>
          </cell>
          <cell r="H1024">
            <v>0</v>
          </cell>
          <cell r="I1024">
            <v>0.10999999999999999</v>
          </cell>
          <cell r="J1024">
            <v>1713.5135135135138</v>
          </cell>
          <cell r="K1024">
            <v>188.48648648648623</v>
          </cell>
          <cell r="L1024">
            <v>0</v>
          </cell>
          <cell r="M1024">
            <v>0</v>
          </cell>
          <cell r="O1024" t="str">
            <v>*</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row>
        <row r="1025">
          <cell r="B1025" t="str">
            <v>1T2(31F)</v>
          </cell>
          <cell r="C1025" t="str">
            <v>户数</v>
          </cell>
          <cell r="D1025" t="str">
            <v>户</v>
          </cell>
          <cell r="E1025">
            <v>0</v>
          </cell>
          <cell r="F1025">
            <v>1903</v>
          </cell>
          <cell r="G1025">
            <v>0</v>
          </cell>
          <cell r="H1025">
            <v>0</v>
          </cell>
          <cell r="I1025">
            <v>0.10999999999999999</v>
          </cell>
          <cell r="J1025">
            <v>1714.4144144144145</v>
          </cell>
          <cell r="K1025">
            <v>188.58558558558548</v>
          </cell>
          <cell r="L1025">
            <v>0</v>
          </cell>
          <cell r="M1025">
            <v>0</v>
          </cell>
          <cell r="O1025" t="str">
            <v>*</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row>
        <row r="1026">
          <cell r="B1026" t="str">
            <v>1T8(32F)</v>
          </cell>
          <cell r="C1026" t="str">
            <v>户数</v>
          </cell>
          <cell r="D1026" t="str">
            <v>户</v>
          </cell>
          <cell r="E1026">
            <v>0</v>
          </cell>
          <cell r="F1026">
            <v>1904</v>
          </cell>
          <cell r="G1026">
            <v>0</v>
          </cell>
          <cell r="H1026">
            <v>0</v>
          </cell>
          <cell r="I1026">
            <v>0.10999999999999999</v>
          </cell>
          <cell r="J1026">
            <v>1715.3153153153155</v>
          </cell>
          <cell r="K1026">
            <v>188.6846846846845</v>
          </cell>
          <cell r="L1026">
            <v>0</v>
          </cell>
          <cell r="M1026">
            <v>0</v>
          </cell>
          <cell r="O1026" t="str">
            <v>*</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row>
        <row r="1027">
          <cell r="B1027" t="str">
            <v>中高层洋房</v>
          </cell>
          <cell r="C1027" t="str">
            <v>户数</v>
          </cell>
          <cell r="D1027" t="str">
            <v>户</v>
          </cell>
          <cell r="E1027">
            <v>0</v>
          </cell>
          <cell r="F1027">
            <v>1905</v>
          </cell>
          <cell r="G1027">
            <v>0</v>
          </cell>
          <cell r="H1027">
            <v>0</v>
          </cell>
          <cell r="I1027">
            <v>0.10999999999999999</v>
          </cell>
          <cell r="J1027">
            <v>1716.2162162162165</v>
          </cell>
          <cell r="K1027">
            <v>188.78378378378352</v>
          </cell>
          <cell r="L1027">
            <v>0</v>
          </cell>
          <cell r="M1027">
            <v>0</v>
          </cell>
          <cell r="O1027" t="str">
            <v>*</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row>
        <row r="1028">
          <cell r="B1028" t="str">
            <v>115高层洋房</v>
          </cell>
          <cell r="C1028" t="str">
            <v>户数</v>
          </cell>
          <cell r="D1028" t="str">
            <v>户</v>
          </cell>
          <cell r="E1028">
            <v>0</v>
          </cell>
          <cell r="F1028">
            <v>1906</v>
          </cell>
          <cell r="G1028">
            <v>0</v>
          </cell>
          <cell r="H1028">
            <v>0</v>
          </cell>
          <cell r="I1028">
            <v>0.10999999999999999</v>
          </cell>
          <cell r="J1028">
            <v>1717.1171171171172</v>
          </cell>
          <cell r="K1028">
            <v>188.88288288288277</v>
          </cell>
          <cell r="L1028">
            <v>0</v>
          </cell>
          <cell r="M1028">
            <v>0</v>
          </cell>
          <cell r="N1028" t="str">
            <v>别墅1900元/户，含可视监控、电子门禁、智能家居等</v>
          </cell>
          <cell r="O1028" t="str">
            <v>*</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row>
        <row r="1029">
          <cell r="B1029" t="str">
            <v>超高层洋房</v>
          </cell>
          <cell r="C1029" t="str">
            <v>户数</v>
          </cell>
          <cell r="D1029" t="str">
            <v>户</v>
          </cell>
          <cell r="E1029">
            <v>0</v>
          </cell>
          <cell r="F1029">
            <v>1907</v>
          </cell>
          <cell r="G1029">
            <v>0</v>
          </cell>
          <cell r="H1029">
            <v>0</v>
          </cell>
          <cell r="I1029">
            <v>0.10999999999999999</v>
          </cell>
          <cell r="J1029">
            <v>1718.0180180180182</v>
          </cell>
          <cell r="K1029">
            <v>188.98198198198179</v>
          </cell>
          <cell r="L1029">
            <v>0</v>
          </cell>
          <cell r="M1029">
            <v>0</v>
          </cell>
          <cell r="O1029" t="str">
            <v>*</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row>
        <row r="1030">
          <cell r="B1030" t="str">
            <v>公寓</v>
          </cell>
          <cell r="C1030" t="str">
            <v>户数</v>
          </cell>
          <cell r="D1030" t="str">
            <v>户</v>
          </cell>
          <cell r="E1030">
            <v>0</v>
          </cell>
          <cell r="F1030">
            <v>1908</v>
          </cell>
          <cell r="G1030">
            <v>0</v>
          </cell>
          <cell r="H1030">
            <v>0</v>
          </cell>
          <cell r="I1030">
            <v>0.10999999999999999</v>
          </cell>
          <cell r="J1030">
            <v>1718.9189189189192</v>
          </cell>
          <cell r="K1030">
            <v>189.08108108108081</v>
          </cell>
          <cell r="L1030">
            <v>0</v>
          </cell>
          <cell r="M1030">
            <v>0</v>
          </cell>
          <cell r="O1030" t="str">
            <v>*</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row>
        <row r="1031">
          <cell r="B1031" t="str">
            <v>底商</v>
          </cell>
          <cell r="C1031" t="str">
            <v>户数</v>
          </cell>
          <cell r="D1031" t="str">
            <v>户</v>
          </cell>
          <cell r="E1031">
            <v>0</v>
          </cell>
          <cell r="F1031">
            <v>0</v>
          </cell>
          <cell r="G1031">
            <v>0</v>
          </cell>
          <cell r="H1031">
            <v>0</v>
          </cell>
          <cell r="I1031">
            <v>0.10999999999999999</v>
          </cell>
          <cell r="J1031">
            <v>0</v>
          </cell>
          <cell r="K1031">
            <v>0</v>
          </cell>
          <cell r="L1031">
            <v>0</v>
          </cell>
          <cell r="M1031">
            <v>0</v>
          </cell>
          <cell r="O1031" t="str">
            <v>*</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row>
        <row r="1032">
          <cell r="B1032" t="str">
            <v>商业街</v>
          </cell>
          <cell r="C1032" t="str">
            <v>户数</v>
          </cell>
          <cell r="D1032" t="str">
            <v>户</v>
          </cell>
          <cell r="E1032">
            <v>0</v>
          </cell>
          <cell r="F1032">
            <v>0</v>
          </cell>
          <cell r="G1032">
            <v>0</v>
          </cell>
          <cell r="H1032">
            <v>0</v>
          </cell>
          <cell r="I1032">
            <v>0.10999999999999999</v>
          </cell>
          <cell r="J1032">
            <v>0</v>
          </cell>
          <cell r="K1032">
            <v>0</v>
          </cell>
          <cell r="L1032">
            <v>0</v>
          </cell>
          <cell r="M1032">
            <v>0</v>
          </cell>
          <cell r="O1032" t="str">
            <v>*</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row>
        <row r="1033">
          <cell r="B1033" t="str">
            <v>综合楼</v>
          </cell>
          <cell r="C1033" t="str">
            <v>户数</v>
          </cell>
          <cell r="D1033" t="str">
            <v>户</v>
          </cell>
          <cell r="E1033">
            <v>0</v>
          </cell>
          <cell r="F1033">
            <v>0</v>
          </cell>
          <cell r="G1033">
            <v>0</v>
          </cell>
          <cell r="H1033">
            <v>0</v>
          </cell>
          <cell r="I1033">
            <v>0.10999999999999999</v>
          </cell>
          <cell r="J1033">
            <v>0</v>
          </cell>
          <cell r="K1033">
            <v>0</v>
          </cell>
          <cell r="L1033">
            <v>0</v>
          </cell>
          <cell r="M1033">
            <v>0</v>
          </cell>
          <cell r="O1033" t="str">
            <v>*</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row>
        <row r="1034">
          <cell r="B1034" t="str">
            <v>写字楼</v>
          </cell>
          <cell r="C1034" t="str">
            <v>户数</v>
          </cell>
          <cell r="D1034" t="str">
            <v>户</v>
          </cell>
          <cell r="E1034">
            <v>0</v>
          </cell>
          <cell r="F1034">
            <v>0</v>
          </cell>
          <cell r="G1034">
            <v>0</v>
          </cell>
          <cell r="H1034">
            <v>0</v>
          </cell>
          <cell r="I1034">
            <v>0.10999999999999999</v>
          </cell>
          <cell r="J1034">
            <v>0</v>
          </cell>
          <cell r="K1034">
            <v>0</v>
          </cell>
          <cell r="L1034">
            <v>0</v>
          </cell>
          <cell r="M1034">
            <v>0</v>
          </cell>
          <cell r="O1034" t="str">
            <v>*</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row>
        <row r="1035">
          <cell r="B1035" t="str">
            <v>酒店</v>
          </cell>
          <cell r="C1035" t="str">
            <v>户数</v>
          </cell>
          <cell r="D1035" t="str">
            <v>户</v>
          </cell>
          <cell r="E1035">
            <v>0</v>
          </cell>
          <cell r="F1035">
            <v>0</v>
          </cell>
          <cell r="G1035">
            <v>0</v>
          </cell>
          <cell r="H1035">
            <v>0</v>
          </cell>
          <cell r="I1035">
            <v>0.10999999999999999</v>
          </cell>
          <cell r="J1035">
            <v>0</v>
          </cell>
          <cell r="K1035">
            <v>0</v>
          </cell>
          <cell r="L1035">
            <v>0</v>
          </cell>
          <cell r="M1035">
            <v>0</v>
          </cell>
          <cell r="O1035" t="str">
            <v>*</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row>
        <row r="1036">
          <cell r="B1036" t="str">
            <v>医院（自持）</v>
          </cell>
          <cell r="C1036" t="str">
            <v>户数</v>
          </cell>
          <cell r="D1036" t="str">
            <v>户</v>
          </cell>
          <cell r="E1036">
            <v>0</v>
          </cell>
          <cell r="F1036">
            <v>0</v>
          </cell>
          <cell r="G1036">
            <v>0</v>
          </cell>
          <cell r="H1036">
            <v>0</v>
          </cell>
          <cell r="I1036">
            <v>0.10999999999999999</v>
          </cell>
          <cell r="J1036">
            <v>0</v>
          </cell>
          <cell r="K1036">
            <v>0</v>
          </cell>
          <cell r="L1036">
            <v>0</v>
          </cell>
          <cell r="M1036">
            <v>0</v>
          </cell>
          <cell r="O1036" t="str">
            <v>*</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row>
        <row r="1037">
          <cell r="B1037" t="str">
            <v>地上计容车库</v>
          </cell>
          <cell r="C1037" t="str">
            <v>户数</v>
          </cell>
          <cell r="D1037" t="str">
            <v>户</v>
          </cell>
          <cell r="E1037">
            <v>0</v>
          </cell>
          <cell r="F1037">
            <v>0</v>
          </cell>
          <cell r="G1037">
            <v>0</v>
          </cell>
          <cell r="H1037">
            <v>0</v>
          </cell>
          <cell r="I1037">
            <v>0.10999999999999999</v>
          </cell>
          <cell r="J1037">
            <v>0</v>
          </cell>
          <cell r="K1037">
            <v>0</v>
          </cell>
          <cell r="L1037">
            <v>0</v>
          </cell>
          <cell r="M1037">
            <v>0</v>
          </cell>
          <cell r="O1037" t="str">
            <v>*</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row>
        <row r="1038">
          <cell r="B1038" t="str">
            <v>非人防地下室</v>
          </cell>
          <cell r="C1038" t="str">
            <v>户数</v>
          </cell>
          <cell r="D1038" t="str">
            <v>户</v>
          </cell>
          <cell r="E1038">
            <v>0</v>
          </cell>
          <cell r="F1038">
            <v>0</v>
          </cell>
          <cell r="G1038">
            <v>0</v>
          </cell>
          <cell r="H1038">
            <v>0</v>
          </cell>
          <cell r="I1038">
            <v>0.10999999999999999</v>
          </cell>
          <cell r="J1038">
            <v>0</v>
          </cell>
          <cell r="K1038">
            <v>0</v>
          </cell>
          <cell r="L1038">
            <v>0</v>
          </cell>
          <cell r="M1038">
            <v>0</v>
          </cell>
          <cell r="O1038" t="str">
            <v>*</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row>
        <row r="1039">
          <cell r="B1039" t="str">
            <v>人防地下室</v>
          </cell>
          <cell r="C1039" t="str">
            <v>户数</v>
          </cell>
          <cell r="D1039" t="str">
            <v>户</v>
          </cell>
          <cell r="E1039">
            <v>0</v>
          </cell>
          <cell r="F1039">
            <v>0</v>
          </cell>
          <cell r="G1039">
            <v>0</v>
          </cell>
          <cell r="H1039">
            <v>0</v>
          </cell>
          <cell r="I1039">
            <v>0.10999999999999999</v>
          </cell>
          <cell r="J1039">
            <v>0</v>
          </cell>
          <cell r="K1039">
            <v>0</v>
          </cell>
          <cell r="L1039">
            <v>0</v>
          </cell>
          <cell r="M1039">
            <v>0</v>
          </cell>
          <cell r="O1039" t="str">
            <v>*</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row>
        <row r="1040">
          <cell r="B1040" t="str">
            <v>独立会所（综合楼）</v>
          </cell>
          <cell r="C1040" t="str">
            <v>户数</v>
          </cell>
          <cell r="D1040" t="str">
            <v>户</v>
          </cell>
          <cell r="E1040">
            <v>0</v>
          </cell>
          <cell r="F1040">
            <v>0</v>
          </cell>
          <cell r="G1040">
            <v>0</v>
          </cell>
          <cell r="H1040">
            <v>0</v>
          </cell>
          <cell r="I1040">
            <v>0.10999999999999999</v>
          </cell>
          <cell r="J1040">
            <v>0</v>
          </cell>
          <cell r="K1040">
            <v>0</v>
          </cell>
          <cell r="L1040">
            <v>0</v>
          </cell>
          <cell r="M1040">
            <v>0</v>
          </cell>
          <cell r="O1040" t="str">
            <v>*</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row>
        <row r="1041">
          <cell r="B1041" t="str">
            <v>活动中心</v>
          </cell>
          <cell r="C1041" t="str">
            <v>户数</v>
          </cell>
          <cell r="D1041" t="str">
            <v>户</v>
          </cell>
          <cell r="E1041">
            <v>0</v>
          </cell>
          <cell r="F1041">
            <v>0</v>
          </cell>
          <cell r="G1041">
            <v>0</v>
          </cell>
          <cell r="H1041">
            <v>0</v>
          </cell>
          <cell r="I1041">
            <v>0.10999999999999999</v>
          </cell>
          <cell r="J1041">
            <v>0</v>
          </cell>
          <cell r="K1041">
            <v>0</v>
          </cell>
          <cell r="L1041">
            <v>0</v>
          </cell>
          <cell r="M1041">
            <v>0</v>
          </cell>
          <cell r="O1041" t="str">
            <v>*</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row>
        <row r="1042">
          <cell r="B1042" t="str">
            <v>商贸市场</v>
          </cell>
          <cell r="C1042" t="str">
            <v>户数</v>
          </cell>
          <cell r="D1042" t="str">
            <v>户</v>
          </cell>
          <cell r="E1042">
            <v>0</v>
          </cell>
          <cell r="F1042">
            <v>0</v>
          </cell>
          <cell r="G1042">
            <v>0</v>
          </cell>
          <cell r="H1042">
            <v>0</v>
          </cell>
          <cell r="I1042">
            <v>0.10999999999999999</v>
          </cell>
          <cell r="J1042">
            <v>0</v>
          </cell>
          <cell r="K1042">
            <v>0</v>
          </cell>
          <cell r="L1042">
            <v>0</v>
          </cell>
          <cell r="M1042">
            <v>0</v>
          </cell>
          <cell r="O1042" t="str">
            <v>*</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row>
        <row r="1043">
          <cell r="B1043" t="str">
            <v>医院</v>
          </cell>
          <cell r="C1043" t="str">
            <v>户数</v>
          </cell>
          <cell r="D1043" t="str">
            <v>户</v>
          </cell>
          <cell r="E1043">
            <v>0</v>
          </cell>
          <cell r="F1043">
            <v>0</v>
          </cell>
          <cell r="G1043">
            <v>0</v>
          </cell>
          <cell r="H1043">
            <v>0</v>
          </cell>
          <cell r="I1043">
            <v>0.10999999999999999</v>
          </cell>
          <cell r="J1043">
            <v>0</v>
          </cell>
          <cell r="K1043">
            <v>0</v>
          </cell>
          <cell r="L1043">
            <v>0</v>
          </cell>
          <cell r="M1043">
            <v>0</v>
          </cell>
          <cell r="O1043" t="str">
            <v>*</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row>
        <row r="1044">
          <cell r="B1044" t="str">
            <v>幼儿园</v>
          </cell>
          <cell r="C1044" t="str">
            <v>户数</v>
          </cell>
          <cell r="D1044" t="str">
            <v>户</v>
          </cell>
          <cell r="E1044">
            <v>0</v>
          </cell>
          <cell r="F1044">
            <v>0</v>
          </cell>
          <cell r="G1044">
            <v>0</v>
          </cell>
          <cell r="H1044">
            <v>0</v>
          </cell>
          <cell r="I1044">
            <v>0.10999999999999999</v>
          </cell>
          <cell r="J1044">
            <v>0</v>
          </cell>
          <cell r="K1044">
            <v>0</v>
          </cell>
          <cell r="L1044">
            <v>0</v>
          </cell>
          <cell r="M1044">
            <v>0</v>
          </cell>
          <cell r="O1044" t="str">
            <v>*</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row>
        <row r="1045">
          <cell r="B1045" t="str">
            <v>学校</v>
          </cell>
          <cell r="C1045" t="str">
            <v>户数</v>
          </cell>
          <cell r="D1045" t="str">
            <v>户</v>
          </cell>
          <cell r="E1045">
            <v>0</v>
          </cell>
          <cell r="F1045">
            <v>0</v>
          </cell>
          <cell r="G1045">
            <v>0</v>
          </cell>
          <cell r="H1045">
            <v>0</v>
          </cell>
          <cell r="I1045">
            <v>0.10999999999999999</v>
          </cell>
          <cell r="J1045">
            <v>0</v>
          </cell>
          <cell r="K1045">
            <v>0</v>
          </cell>
          <cell r="L1045">
            <v>0</v>
          </cell>
          <cell r="M1045">
            <v>0</v>
          </cell>
          <cell r="O1045" t="str">
            <v>*</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row>
        <row r="1046">
          <cell r="B1046" t="str">
            <v>员工宿舍</v>
          </cell>
          <cell r="C1046" t="str">
            <v>户数</v>
          </cell>
          <cell r="D1046" t="str">
            <v>户</v>
          </cell>
          <cell r="E1046">
            <v>0</v>
          </cell>
          <cell r="F1046">
            <v>0</v>
          </cell>
          <cell r="G1046">
            <v>0</v>
          </cell>
          <cell r="H1046">
            <v>0</v>
          </cell>
          <cell r="I1046">
            <v>0.10999999999999999</v>
          </cell>
          <cell r="J1046">
            <v>0</v>
          </cell>
          <cell r="K1046">
            <v>0</v>
          </cell>
          <cell r="L1046">
            <v>0</v>
          </cell>
          <cell r="M1046">
            <v>0</v>
          </cell>
          <cell r="O1046" t="str">
            <v>*</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row>
        <row r="1047">
          <cell r="A1047" t="str">
            <v>03.03.04</v>
          </cell>
          <cell r="B1047" t="str">
            <v>电梯工程</v>
          </cell>
          <cell r="C1047" t="str">
            <v>建筑面积</v>
          </cell>
          <cell r="D1047" t="str">
            <v>m2</v>
          </cell>
          <cell r="E1047">
            <v>241586.90000000002</v>
          </cell>
          <cell r="F1047">
            <v>33.114378304452764</v>
          </cell>
          <cell r="G1047">
            <v>8000000</v>
          </cell>
          <cell r="H1047">
            <v>0</v>
          </cell>
          <cell r="I1047">
            <v>0.10999999999999981</v>
          </cell>
          <cell r="J1047">
            <v>29.832773247254746</v>
          </cell>
          <cell r="K1047">
            <v>3.2816050571980178</v>
          </cell>
          <cell r="L1047">
            <v>7207207.2072072085</v>
          </cell>
          <cell r="M1047">
            <v>792792.7927927915</v>
          </cell>
          <cell r="P1047">
            <v>0</v>
          </cell>
          <cell r="Q1047">
            <v>0</v>
          </cell>
          <cell r="R1047">
            <v>0</v>
          </cell>
          <cell r="S1047">
            <v>5765765.7657657666</v>
          </cell>
          <cell r="T1047">
            <v>1441441.4414414417</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7207207.2072072085</v>
          </cell>
          <cell r="AS1047">
            <v>0</v>
          </cell>
        </row>
        <row r="1048">
          <cell r="B1048">
            <v>100</v>
          </cell>
          <cell r="C1048" t="str">
            <v>电梯台数</v>
          </cell>
          <cell r="D1048" t="str">
            <v>台</v>
          </cell>
          <cell r="E1048">
            <v>0</v>
          </cell>
          <cell r="F1048">
            <v>0</v>
          </cell>
          <cell r="G1048">
            <v>0</v>
          </cell>
          <cell r="H1048">
            <v>0</v>
          </cell>
          <cell r="I1048">
            <v>0.10999999999999999</v>
          </cell>
          <cell r="J1048">
            <v>0</v>
          </cell>
          <cell r="K1048">
            <v>0</v>
          </cell>
          <cell r="L1048">
            <v>0</v>
          </cell>
          <cell r="M1048">
            <v>0</v>
          </cell>
          <cell r="N1048" t="str">
            <v>参考惠阳项目别墅已签订合同，采用三菱电梯，设备单价80500元/台，安装单价28100元/台，其他配套及运输费16600元/台，合计125200元/台。</v>
          </cell>
          <cell r="O1048" t="str">
            <v>*</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row>
        <row r="1049">
          <cell r="B1049">
            <v>125</v>
          </cell>
          <cell r="C1049" t="str">
            <v>电梯台数</v>
          </cell>
          <cell r="D1049" t="str">
            <v>台</v>
          </cell>
          <cell r="E1049">
            <v>0</v>
          </cell>
          <cell r="F1049">
            <v>0</v>
          </cell>
          <cell r="G1049">
            <v>0</v>
          </cell>
          <cell r="H1049">
            <v>0</v>
          </cell>
          <cell r="I1049">
            <v>0.10999999999999999</v>
          </cell>
          <cell r="J1049">
            <v>0</v>
          </cell>
          <cell r="K1049">
            <v>0</v>
          </cell>
          <cell r="L1049">
            <v>0</v>
          </cell>
          <cell r="M1049">
            <v>0</v>
          </cell>
          <cell r="O1049" t="str">
            <v>*</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row>
        <row r="1050">
          <cell r="B1050">
            <v>150</v>
          </cell>
          <cell r="C1050" t="str">
            <v>电梯台数</v>
          </cell>
          <cell r="D1050" t="str">
            <v>台</v>
          </cell>
          <cell r="E1050">
            <v>0</v>
          </cell>
          <cell r="F1050">
            <v>0</v>
          </cell>
          <cell r="G1050">
            <v>0</v>
          </cell>
          <cell r="H1050">
            <v>0</v>
          </cell>
          <cell r="I1050">
            <v>0.10999999999999999</v>
          </cell>
          <cell r="J1050">
            <v>0</v>
          </cell>
          <cell r="K1050">
            <v>0</v>
          </cell>
          <cell r="L1050">
            <v>0</v>
          </cell>
          <cell r="M1050">
            <v>0</v>
          </cell>
          <cell r="O1050" t="str">
            <v>*</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row>
        <row r="1051">
          <cell r="B1051" t="str">
            <v>1T4(30F)</v>
          </cell>
          <cell r="C1051" t="str">
            <v>电梯台数</v>
          </cell>
          <cell r="D1051" t="str">
            <v>台</v>
          </cell>
          <cell r="E1051">
            <v>16</v>
          </cell>
          <cell r="F1051">
            <v>400000</v>
          </cell>
          <cell r="G1051">
            <v>6400000</v>
          </cell>
          <cell r="H1051">
            <v>0</v>
          </cell>
          <cell r="I1051">
            <v>0.10999999999999999</v>
          </cell>
          <cell r="J1051">
            <v>360360.36036036041</v>
          </cell>
          <cell r="K1051">
            <v>39639.639639639587</v>
          </cell>
          <cell r="L1051">
            <v>5765765.7657657666</v>
          </cell>
          <cell r="M1051">
            <v>634234.23423423339</v>
          </cell>
          <cell r="O1051" t="str">
            <v>*</v>
          </cell>
          <cell r="P1051">
            <v>0</v>
          </cell>
          <cell r="Q1051">
            <v>0</v>
          </cell>
          <cell r="R1051">
            <v>0</v>
          </cell>
          <cell r="S1051">
            <v>5765765.7657657666</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5765765.7657657666</v>
          </cell>
          <cell r="AS1051">
            <v>0</v>
          </cell>
        </row>
        <row r="1052">
          <cell r="B1052" t="str">
            <v>1T3(30F)</v>
          </cell>
          <cell r="C1052" t="str">
            <v>电梯台数</v>
          </cell>
          <cell r="D1052" t="str">
            <v>台</v>
          </cell>
          <cell r="E1052">
            <v>4</v>
          </cell>
          <cell r="F1052">
            <v>400000</v>
          </cell>
          <cell r="G1052">
            <v>1600000</v>
          </cell>
          <cell r="H1052">
            <v>0</v>
          </cell>
          <cell r="I1052">
            <v>0.10999999999999999</v>
          </cell>
          <cell r="J1052">
            <v>360360.36036036041</v>
          </cell>
          <cell r="K1052">
            <v>39639.639639639587</v>
          </cell>
          <cell r="L1052">
            <v>1441441.4414414417</v>
          </cell>
          <cell r="M1052">
            <v>158558.55855855835</v>
          </cell>
          <cell r="N1052" t="str">
            <v>参考惠阳项目别墅已签订合同，采用三菱电梯，设备单价80500元/台，安装单价28100元/台，其他配套及运输费16600元/台，合计125200元/台。</v>
          </cell>
          <cell r="O1052" t="str">
            <v>*</v>
          </cell>
          <cell r="P1052">
            <v>0</v>
          </cell>
          <cell r="Q1052">
            <v>0</v>
          </cell>
          <cell r="R1052">
            <v>0</v>
          </cell>
          <cell r="S1052">
            <v>0</v>
          </cell>
          <cell r="T1052">
            <v>1441441.4414414417</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1441441.4414414417</v>
          </cell>
          <cell r="AS1052">
            <v>0</v>
          </cell>
        </row>
        <row r="1053">
          <cell r="B1053" t="str">
            <v>LOFT(31F)</v>
          </cell>
          <cell r="C1053" t="str">
            <v>电梯台数</v>
          </cell>
          <cell r="D1053" t="str">
            <v>台</v>
          </cell>
          <cell r="E1053">
            <v>0</v>
          </cell>
          <cell r="F1053">
            <v>400000</v>
          </cell>
          <cell r="G1053">
            <v>0</v>
          </cell>
          <cell r="H1053">
            <v>0</v>
          </cell>
          <cell r="I1053">
            <v>0.10999999999999999</v>
          </cell>
          <cell r="J1053">
            <v>360360.36036036041</v>
          </cell>
          <cell r="K1053">
            <v>39639.639639639587</v>
          </cell>
          <cell r="L1053">
            <v>0</v>
          </cell>
          <cell r="M1053">
            <v>0</v>
          </cell>
          <cell r="O1053" t="str">
            <v>*</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row>
        <row r="1054">
          <cell r="B1054" t="str">
            <v>1T2(31F)</v>
          </cell>
          <cell r="C1054" t="str">
            <v>电梯台数</v>
          </cell>
          <cell r="D1054" t="str">
            <v>台</v>
          </cell>
          <cell r="E1054">
            <v>0</v>
          </cell>
          <cell r="F1054">
            <v>400000</v>
          </cell>
          <cell r="G1054">
            <v>0</v>
          </cell>
          <cell r="H1054">
            <v>0</v>
          </cell>
          <cell r="I1054">
            <v>0.10999999999999999</v>
          </cell>
          <cell r="J1054">
            <v>360360.36036036041</v>
          </cell>
          <cell r="K1054">
            <v>39639.639639639587</v>
          </cell>
          <cell r="L1054">
            <v>0</v>
          </cell>
          <cell r="M1054">
            <v>0</v>
          </cell>
          <cell r="O1054" t="str">
            <v>*</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row>
        <row r="1055">
          <cell r="B1055" t="str">
            <v>1T8(32F)</v>
          </cell>
          <cell r="C1055" t="str">
            <v>电梯台数</v>
          </cell>
          <cell r="D1055" t="str">
            <v>台</v>
          </cell>
          <cell r="E1055">
            <v>0</v>
          </cell>
          <cell r="F1055">
            <v>400000</v>
          </cell>
          <cell r="G1055">
            <v>0</v>
          </cell>
          <cell r="H1055">
            <v>0</v>
          </cell>
          <cell r="I1055">
            <v>0.10999999999999999</v>
          </cell>
          <cell r="J1055">
            <v>360360.36036036041</v>
          </cell>
          <cell r="K1055">
            <v>39639.639639639587</v>
          </cell>
          <cell r="L1055">
            <v>0</v>
          </cell>
          <cell r="M1055">
            <v>0</v>
          </cell>
          <cell r="O1055" t="str">
            <v>*</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row>
        <row r="1056">
          <cell r="B1056" t="str">
            <v>中高层洋房</v>
          </cell>
          <cell r="C1056" t="str">
            <v>电梯台数</v>
          </cell>
          <cell r="D1056" t="str">
            <v>台</v>
          </cell>
          <cell r="E1056">
            <v>0</v>
          </cell>
          <cell r="F1056">
            <v>400000</v>
          </cell>
          <cell r="G1056">
            <v>0</v>
          </cell>
          <cell r="H1056">
            <v>0</v>
          </cell>
          <cell r="I1056">
            <v>0.10999999999999999</v>
          </cell>
          <cell r="J1056">
            <v>360360.36036036041</v>
          </cell>
          <cell r="K1056">
            <v>39639.639639639587</v>
          </cell>
          <cell r="L1056">
            <v>0</v>
          </cell>
          <cell r="M1056">
            <v>0</v>
          </cell>
          <cell r="O1056" t="str">
            <v>*</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row>
        <row r="1057">
          <cell r="B1057" t="str">
            <v>115高层洋房</v>
          </cell>
          <cell r="C1057" t="str">
            <v>电梯台数</v>
          </cell>
          <cell r="D1057" t="str">
            <v>台</v>
          </cell>
          <cell r="E1057">
            <v>0</v>
          </cell>
          <cell r="F1057">
            <v>400000</v>
          </cell>
          <cell r="G1057">
            <v>0</v>
          </cell>
          <cell r="H1057">
            <v>0</v>
          </cell>
          <cell r="I1057">
            <v>0.10999999999999999</v>
          </cell>
          <cell r="J1057">
            <v>360360.36036036041</v>
          </cell>
          <cell r="K1057">
            <v>39639.639639639587</v>
          </cell>
          <cell r="L1057">
            <v>0</v>
          </cell>
          <cell r="M1057">
            <v>0</v>
          </cell>
          <cell r="N1057" t="str">
            <v>1、一期共13个单元，13部电梯，参考黄埠项目集团审核单价18.01万元/台（含安装与运输的费用）
2、按照320元/月的维保费用预估，计算周期按照24个月。</v>
          </cell>
          <cell r="O1057" t="str">
            <v>*</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row>
        <row r="1058">
          <cell r="B1058" t="str">
            <v>超高层洋房</v>
          </cell>
          <cell r="C1058" t="str">
            <v>电梯台数</v>
          </cell>
          <cell r="D1058" t="str">
            <v>台</v>
          </cell>
          <cell r="E1058">
            <v>0</v>
          </cell>
          <cell r="F1058">
            <v>400000</v>
          </cell>
          <cell r="G1058">
            <v>0</v>
          </cell>
          <cell r="H1058">
            <v>0</v>
          </cell>
          <cell r="I1058">
            <v>0.10999999999999999</v>
          </cell>
          <cell r="J1058">
            <v>360360.36036036041</v>
          </cell>
          <cell r="K1058">
            <v>39639.639639639587</v>
          </cell>
          <cell r="L1058">
            <v>0</v>
          </cell>
          <cell r="M1058">
            <v>0</v>
          </cell>
          <cell r="O1058" t="str">
            <v>*</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row>
        <row r="1059">
          <cell r="B1059" t="str">
            <v>公寓</v>
          </cell>
          <cell r="C1059" t="str">
            <v>电梯台数</v>
          </cell>
          <cell r="D1059" t="str">
            <v>台</v>
          </cell>
          <cell r="E1059">
            <v>0</v>
          </cell>
          <cell r="F1059">
            <v>400000</v>
          </cell>
          <cell r="G1059">
            <v>0</v>
          </cell>
          <cell r="H1059">
            <v>0</v>
          </cell>
          <cell r="I1059">
            <v>0.10999999999999999</v>
          </cell>
          <cell r="J1059">
            <v>360360.36036036041</v>
          </cell>
          <cell r="K1059">
            <v>39639.639639639587</v>
          </cell>
          <cell r="L1059">
            <v>0</v>
          </cell>
          <cell r="M1059">
            <v>0</v>
          </cell>
          <cell r="O1059" t="str">
            <v>*</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row>
        <row r="1060">
          <cell r="B1060" t="str">
            <v>底商</v>
          </cell>
          <cell r="C1060" t="str">
            <v>电梯台数</v>
          </cell>
          <cell r="D1060" t="str">
            <v>台</v>
          </cell>
          <cell r="E1060">
            <v>0</v>
          </cell>
          <cell r="F1060">
            <v>0</v>
          </cell>
          <cell r="G1060">
            <v>0</v>
          </cell>
          <cell r="H1060">
            <v>0</v>
          </cell>
          <cell r="I1060">
            <v>0.10999999999999999</v>
          </cell>
          <cell r="J1060">
            <v>0</v>
          </cell>
          <cell r="K1060">
            <v>0</v>
          </cell>
          <cell r="L1060">
            <v>0</v>
          </cell>
          <cell r="M1060">
            <v>0</v>
          </cell>
          <cell r="O1060" t="str">
            <v>*</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row>
        <row r="1061">
          <cell r="B1061" t="str">
            <v>商业街</v>
          </cell>
          <cell r="C1061" t="str">
            <v>电梯台数</v>
          </cell>
          <cell r="D1061" t="str">
            <v>台</v>
          </cell>
          <cell r="E1061">
            <v>0</v>
          </cell>
          <cell r="F1061">
            <v>0</v>
          </cell>
          <cell r="G1061">
            <v>0</v>
          </cell>
          <cell r="H1061">
            <v>0</v>
          </cell>
          <cell r="I1061">
            <v>0.10999999999999999</v>
          </cell>
          <cell r="J1061">
            <v>0</v>
          </cell>
          <cell r="K1061">
            <v>0</v>
          </cell>
          <cell r="L1061">
            <v>0</v>
          </cell>
          <cell r="M1061">
            <v>0</v>
          </cell>
          <cell r="O1061" t="str">
            <v>*</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row>
        <row r="1062">
          <cell r="B1062" t="str">
            <v>综合楼</v>
          </cell>
          <cell r="C1062" t="str">
            <v>电梯台数</v>
          </cell>
          <cell r="D1062" t="str">
            <v>台</v>
          </cell>
          <cell r="E1062">
            <v>0</v>
          </cell>
          <cell r="F1062">
            <v>0</v>
          </cell>
          <cell r="G1062">
            <v>0</v>
          </cell>
          <cell r="H1062">
            <v>0</v>
          </cell>
          <cell r="I1062">
            <v>0.10999999999999999</v>
          </cell>
          <cell r="J1062">
            <v>0</v>
          </cell>
          <cell r="K1062">
            <v>0</v>
          </cell>
          <cell r="L1062">
            <v>0</v>
          </cell>
          <cell r="M1062">
            <v>0</v>
          </cell>
          <cell r="O1062" t="str">
            <v>*</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row>
        <row r="1063">
          <cell r="B1063" t="str">
            <v>写字楼</v>
          </cell>
          <cell r="C1063" t="str">
            <v>电梯台数</v>
          </cell>
          <cell r="D1063" t="str">
            <v>台</v>
          </cell>
          <cell r="E1063">
            <v>0</v>
          </cell>
          <cell r="F1063">
            <v>0</v>
          </cell>
          <cell r="G1063">
            <v>0</v>
          </cell>
          <cell r="H1063">
            <v>0</v>
          </cell>
          <cell r="I1063">
            <v>0.10999999999999999</v>
          </cell>
          <cell r="J1063">
            <v>0</v>
          </cell>
          <cell r="K1063">
            <v>0</v>
          </cell>
          <cell r="L1063">
            <v>0</v>
          </cell>
          <cell r="M1063">
            <v>0</v>
          </cell>
          <cell r="O1063" t="str">
            <v>*</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row>
        <row r="1064">
          <cell r="B1064" t="str">
            <v>酒店</v>
          </cell>
          <cell r="C1064" t="str">
            <v>电梯台数</v>
          </cell>
          <cell r="D1064" t="str">
            <v>台</v>
          </cell>
          <cell r="E1064">
            <v>0</v>
          </cell>
          <cell r="F1064">
            <v>0</v>
          </cell>
          <cell r="G1064">
            <v>0</v>
          </cell>
          <cell r="H1064">
            <v>0</v>
          </cell>
          <cell r="I1064">
            <v>0.10999999999999999</v>
          </cell>
          <cell r="J1064">
            <v>0</v>
          </cell>
          <cell r="K1064">
            <v>0</v>
          </cell>
          <cell r="L1064">
            <v>0</v>
          </cell>
          <cell r="M1064">
            <v>0</v>
          </cell>
          <cell r="O1064" t="str">
            <v>*</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row>
        <row r="1065">
          <cell r="B1065" t="str">
            <v>医院（自持）</v>
          </cell>
          <cell r="C1065" t="str">
            <v>电梯台数</v>
          </cell>
          <cell r="D1065" t="str">
            <v>台</v>
          </cell>
          <cell r="E1065">
            <v>0</v>
          </cell>
          <cell r="F1065">
            <v>0</v>
          </cell>
          <cell r="G1065">
            <v>0</v>
          </cell>
          <cell r="H1065">
            <v>0</v>
          </cell>
          <cell r="I1065">
            <v>0.10999999999999999</v>
          </cell>
          <cell r="J1065">
            <v>0</v>
          </cell>
          <cell r="K1065">
            <v>0</v>
          </cell>
          <cell r="L1065">
            <v>0</v>
          </cell>
          <cell r="M1065">
            <v>0</v>
          </cell>
          <cell r="O1065" t="str">
            <v>*</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row>
        <row r="1066">
          <cell r="B1066" t="str">
            <v>地上计容车库</v>
          </cell>
          <cell r="C1066" t="str">
            <v>电梯台数</v>
          </cell>
          <cell r="D1066" t="str">
            <v>台</v>
          </cell>
          <cell r="E1066">
            <v>0</v>
          </cell>
          <cell r="F1066">
            <v>0</v>
          </cell>
          <cell r="G1066">
            <v>0</v>
          </cell>
          <cell r="H1066">
            <v>0</v>
          </cell>
          <cell r="I1066">
            <v>0.10999999999999999</v>
          </cell>
          <cell r="J1066">
            <v>0</v>
          </cell>
          <cell r="K1066">
            <v>0</v>
          </cell>
          <cell r="L1066">
            <v>0</v>
          </cell>
          <cell r="M1066">
            <v>0</v>
          </cell>
          <cell r="O1066" t="str">
            <v>*</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row>
        <row r="1067">
          <cell r="B1067" t="str">
            <v>非人防地下室</v>
          </cell>
          <cell r="C1067" t="str">
            <v>电梯台数</v>
          </cell>
          <cell r="D1067" t="str">
            <v>台</v>
          </cell>
          <cell r="E1067">
            <v>0</v>
          </cell>
          <cell r="F1067">
            <v>0</v>
          </cell>
          <cell r="G1067">
            <v>0</v>
          </cell>
          <cell r="H1067">
            <v>0</v>
          </cell>
          <cell r="I1067">
            <v>0.10999999999999999</v>
          </cell>
          <cell r="J1067">
            <v>0</v>
          </cell>
          <cell r="K1067">
            <v>0</v>
          </cell>
          <cell r="L1067">
            <v>0</v>
          </cell>
          <cell r="M1067">
            <v>0</v>
          </cell>
          <cell r="O1067" t="str">
            <v>*</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row>
        <row r="1068">
          <cell r="B1068" t="str">
            <v>人防地下室</v>
          </cell>
          <cell r="C1068" t="str">
            <v>电梯台数</v>
          </cell>
          <cell r="D1068" t="str">
            <v>台</v>
          </cell>
          <cell r="E1068">
            <v>0</v>
          </cell>
          <cell r="F1068">
            <v>0</v>
          </cell>
          <cell r="G1068">
            <v>0</v>
          </cell>
          <cell r="H1068">
            <v>0</v>
          </cell>
          <cell r="I1068">
            <v>0.10999999999999999</v>
          </cell>
          <cell r="J1068">
            <v>0</v>
          </cell>
          <cell r="K1068">
            <v>0</v>
          </cell>
          <cell r="L1068">
            <v>0</v>
          </cell>
          <cell r="M1068">
            <v>0</v>
          </cell>
          <cell r="O1068" t="str">
            <v>*</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row>
        <row r="1069">
          <cell r="B1069" t="str">
            <v>独立会所（综合楼）</v>
          </cell>
          <cell r="C1069" t="str">
            <v>电梯台数</v>
          </cell>
          <cell r="D1069" t="str">
            <v>台</v>
          </cell>
          <cell r="E1069">
            <v>0</v>
          </cell>
          <cell r="F1069">
            <v>0</v>
          </cell>
          <cell r="G1069">
            <v>0</v>
          </cell>
          <cell r="H1069">
            <v>0</v>
          </cell>
          <cell r="I1069">
            <v>0.10999999999999999</v>
          </cell>
          <cell r="J1069">
            <v>0</v>
          </cell>
          <cell r="K1069">
            <v>0</v>
          </cell>
          <cell r="L1069">
            <v>0</v>
          </cell>
          <cell r="M1069">
            <v>0</v>
          </cell>
          <cell r="O1069" t="str">
            <v>*</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row>
        <row r="1070">
          <cell r="B1070" t="str">
            <v>活动中心</v>
          </cell>
          <cell r="C1070" t="str">
            <v>电梯台数</v>
          </cell>
          <cell r="D1070" t="str">
            <v>台</v>
          </cell>
          <cell r="E1070">
            <v>0</v>
          </cell>
          <cell r="F1070">
            <v>0</v>
          </cell>
          <cell r="G1070">
            <v>0</v>
          </cell>
          <cell r="H1070">
            <v>0</v>
          </cell>
          <cell r="I1070">
            <v>0.10999999999999999</v>
          </cell>
          <cell r="J1070">
            <v>0</v>
          </cell>
          <cell r="K1070">
            <v>0</v>
          </cell>
          <cell r="L1070">
            <v>0</v>
          </cell>
          <cell r="M1070">
            <v>0</v>
          </cell>
          <cell r="O1070" t="str">
            <v>*</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row>
        <row r="1071">
          <cell r="B1071" t="str">
            <v>商贸市场</v>
          </cell>
          <cell r="C1071" t="str">
            <v>电梯台数</v>
          </cell>
          <cell r="D1071" t="str">
            <v>台</v>
          </cell>
          <cell r="E1071">
            <v>0</v>
          </cell>
          <cell r="F1071">
            <v>0</v>
          </cell>
          <cell r="G1071">
            <v>0</v>
          </cell>
          <cell r="H1071">
            <v>0</v>
          </cell>
          <cell r="I1071">
            <v>0.10999999999999999</v>
          </cell>
          <cell r="J1071">
            <v>0</v>
          </cell>
          <cell r="K1071">
            <v>0</v>
          </cell>
          <cell r="L1071">
            <v>0</v>
          </cell>
          <cell r="M1071">
            <v>0</v>
          </cell>
          <cell r="O1071" t="str">
            <v>*</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row>
        <row r="1072">
          <cell r="B1072" t="str">
            <v>医院</v>
          </cell>
          <cell r="C1072" t="str">
            <v>电梯台数</v>
          </cell>
          <cell r="D1072" t="str">
            <v>台</v>
          </cell>
          <cell r="E1072">
            <v>0</v>
          </cell>
          <cell r="F1072">
            <v>0</v>
          </cell>
          <cell r="G1072">
            <v>0</v>
          </cell>
          <cell r="H1072">
            <v>0</v>
          </cell>
          <cell r="I1072">
            <v>0.10999999999999999</v>
          </cell>
          <cell r="J1072">
            <v>0</v>
          </cell>
          <cell r="K1072">
            <v>0</v>
          </cell>
          <cell r="L1072">
            <v>0</v>
          </cell>
          <cell r="M1072">
            <v>0</v>
          </cell>
          <cell r="O1072" t="str">
            <v>*</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row>
        <row r="1073">
          <cell r="B1073" t="str">
            <v>幼儿园</v>
          </cell>
          <cell r="C1073" t="str">
            <v>电梯台数</v>
          </cell>
          <cell r="D1073" t="str">
            <v>台</v>
          </cell>
          <cell r="E1073">
            <v>0</v>
          </cell>
          <cell r="F1073">
            <v>0</v>
          </cell>
          <cell r="G1073">
            <v>0</v>
          </cell>
          <cell r="H1073">
            <v>0</v>
          </cell>
          <cell r="I1073">
            <v>0.10999999999999999</v>
          </cell>
          <cell r="J1073">
            <v>0</v>
          </cell>
          <cell r="K1073">
            <v>0</v>
          </cell>
          <cell r="L1073">
            <v>0</v>
          </cell>
          <cell r="M1073">
            <v>0</v>
          </cell>
          <cell r="O1073" t="str">
            <v>*</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row>
        <row r="1074">
          <cell r="B1074" t="str">
            <v>学校</v>
          </cell>
          <cell r="C1074" t="str">
            <v>电梯台数</v>
          </cell>
          <cell r="D1074" t="str">
            <v>台</v>
          </cell>
          <cell r="E1074">
            <v>0</v>
          </cell>
          <cell r="F1074">
            <v>0</v>
          </cell>
          <cell r="G1074">
            <v>0</v>
          </cell>
          <cell r="H1074">
            <v>0</v>
          </cell>
          <cell r="I1074">
            <v>0.10999999999999999</v>
          </cell>
          <cell r="J1074">
            <v>0</v>
          </cell>
          <cell r="K1074">
            <v>0</v>
          </cell>
          <cell r="L1074">
            <v>0</v>
          </cell>
          <cell r="M1074">
            <v>0</v>
          </cell>
          <cell r="O1074" t="str">
            <v>*</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row>
        <row r="1075">
          <cell r="B1075" t="str">
            <v>员工宿舍</v>
          </cell>
          <cell r="C1075" t="str">
            <v>电梯台数</v>
          </cell>
          <cell r="D1075" t="str">
            <v>台</v>
          </cell>
          <cell r="E1075">
            <v>0</v>
          </cell>
          <cell r="F1075">
            <v>0</v>
          </cell>
          <cell r="G1075">
            <v>0</v>
          </cell>
          <cell r="H1075">
            <v>0</v>
          </cell>
          <cell r="I1075">
            <v>0.10999999999999999</v>
          </cell>
          <cell r="J1075">
            <v>0</v>
          </cell>
          <cell r="K1075">
            <v>0</v>
          </cell>
          <cell r="L1075">
            <v>0</v>
          </cell>
          <cell r="M1075">
            <v>0</v>
          </cell>
          <cell r="O1075" t="str">
            <v>*</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row>
        <row r="1076">
          <cell r="A1076" t="str">
            <v>03.03.05</v>
          </cell>
          <cell r="B1076" t="str">
            <v>机械停车位</v>
          </cell>
          <cell r="C1076" t="str">
            <v>机械占地面积</v>
          </cell>
          <cell r="D1076" t="str">
            <v>m2</v>
          </cell>
          <cell r="G1076">
            <v>0</v>
          </cell>
          <cell r="H1076">
            <v>0</v>
          </cell>
          <cell r="I1076">
            <v>0.10999999999999999</v>
          </cell>
          <cell r="J1076">
            <v>0</v>
          </cell>
          <cell r="K1076">
            <v>0</v>
          </cell>
          <cell r="L1076">
            <v>0</v>
          </cell>
          <cell r="M1076">
            <v>0</v>
          </cell>
          <cell r="O1076" t="str">
            <v>建筑面积</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row>
        <row r="1077">
          <cell r="A1077" t="str">
            <v>03.03.06</v>
          </cell>
          <cell r="B1077" t="str">
            <v>发电机及安装</v>
          </cell>
          <cell r="C1077" t="str">
            <v>发电机台数</v>
          </cell>
          <cell r="D1077" t="str">
            <v>台</v>
          </cell>
          <cell r="E1077">
            <v>2</v>
          </cell>
          <cell r="F1077">
            <v>800000</v>
          </cell>
          <cell r="G1077">
            <v>1600000</v>
          </cell>
          <cell r="H1077">
            <v>0</v>
          </cell>
          <cell r="I1077">
            <v>0.10999999999999999</v>
          </cell>
          <cell r="J1077">
            <v>720720.72072072083</v>
          </cell>
          <cell r="K1077">
            <v>79279.279279279173</v>
          </cell>
          <cell r="L1077">
            <v>1441441.4414414417</v>
          </cell>
          <cell r="M1077">
            <v>158558.55855855835</v>
          </cell>
          <cell r="N1077" t="str">
            <v>2台800KW的发电机配置，费用约160万</v>
          </cell>
          <cell r="O1077" t="str">
            <v>建筑面积</v>
          </cell>
          <cell r="P1077">
            <v>0</v>
          </cell>
          <cell r="Q1077">
            <v>159128.01250085683</v>
          </cell>
          <cell r="R1077">
            <v>13949.80477041632</v>
          </cell>
          <cell r="S1077">
            <v>598320.84967884957</v>
          </cell>
          <cell r="T1077">
            <v>139785.63563826671</v>
          </cell>
          <cell r="U1077">
            <v>0</v>
          </cell>
          <cell r="V1077">
            <v>0</v>
          </cell>
          <cell r="W1077">
            <v>0</v>
          </cell>
          <cell r="X1077">
            <v>0</v>
          </cell>
          <cell r="Y1077">
            <v>0</v>
          </cell>
          <cell r="Z1077">
            <v>0</v>
          </cell>
          <cell r="AA1077">
            <v>0</v>
          </cell>
          <cell r="AB1077">
            <v>11933.109298901898</v>
          </cell>
          <cell r="AC1077">
            <v>0</v>
          </cell>
          <cell r="AD1077">
            <v>0</v>
          </cell>
          <cell r="AE1077">
            <v>0</v>
          </cell>
          <cell r="AF1077">
            <v>0</v>
          </cell>
          <cell r="AG1077">
            <v>462238.41584931116</v>
          </cell>
          <cell r="AH1077">
            <v>56085.613704838921</v>
          </cell>
          <cell r="AI1077">
            <v>0</v>
          </cell>
          <cell r="AJ1077">
            <v>0</v>
          </cell>
          <cell r="AK1077">
            <v>0</v>
          </cell>
          <cell r="AL1077">
            <v>0</v>
          </cell>
          <cell r="AM1077">
            <v>0</v>
          </cell>
          <cell r="AN1077">
            <v>0</v>
          </cell>
          <cell r="AO1077">
            <v>0</v>
          </cell>
          <cell r="AP1077">
            <v>0</v>
          </cell>
          <cell r="AQ1077">
            <v>0</v>
          </cell>
          <cell r="AR1077">
            <v>1441441.4414414414</v>
          </cell>
          <cell r="AS1077">
            <v>0</v>
          </cell>
        </row>
        <row r="1078">
          <cell r="A1078" t="str">
            <v>04</v>
          </cell>
          <cell r="B1078" t="str">
            <v>景观环境工程</v>
          </cell>
          <cell r="C1078" t="str">
            <v>室外占地面积</v>
          </cell>
          <cell r="D1078" t="str">
            <v>m2</v>
          </cell>
          <cell r="E1078">
            <v>111209</v>
          </cell>
          <cell r="F1078">
            <v>453.50908253828379</v>
          </cell>
          <cell r="G1078">
            <v>50434291.560000002</v>
          </cell>
          <cell r="I1078">
            <v>0.1100000000000001</v>
          </cell>
          <cell r="J1078">
            <v>408.56674102548084</v>
          </cell>
          <cell r="K1078">
            <v>44.942341512802955</v>
          </cell>
          <cell r="L1078">
            <v>45436298.702702701</v>
          </cell>
          <cell r="M1078">
            <v>4997992.8572973013</v>
          </cell>
          <cell r="P1078">
            <v>0</v>
          </cell>
          <cell r="Q1078">
            <v>17180228.829230752</v>
          </cell>
          <cell r="R1078">
            <v>1506088.3015651098</v>
          </cell>
          <cell r="S1078">
            <v>21015568.623599213</v>
          </cell>
          <cell r="T1078">
            <v>4909865.0329939779</v>
          </cell>
          <cell r="U1078">
            <v>0</v>
          </cell>
          <cell r="V1078">
            <v>0</v>
          </cell>
          <cell r="W1078">
            <v>0</v>
          </cell>
          <cell r="X1078">
            <v>0</v>
          </cell>
          <cell r="Y1078">
            <v>0</v>
          </cell>
          <cell r="Z1078">
            <v>0</v>
          </cell>
          <cell r="AA1078">
            <v>0</v>
          </cell>
          <cell r="AB1078">
            <v>824547.9153136618</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45436298.702702716</v>
          </cell>
          <cell r="AS1078">
            <v>0</v>
          </cell>
        </row>
        <row r="1079">
          <cell r="A1079" t="str">
            <v>04.01</v>
          </cell>
          <cell r="B1079" t="str">
            <v>小市政工程</v>
          </cell>
          <cell r="C1079" t="str">
            <v>室外占地面积</v>
          </cell>
          <cell r="D1079" t="str">
            <v>m2</v>
          </cell>
          <cell r="E1079">
            <v>110209</v>
          </cell>
          <cell r="F1079">
            <v>104.71921530909454</v>
          </cell>
          <cell r="G1079">
            <v>11541000</v>
          </cell>
          <cell r="I1079">
            <v>0.10999999999999983</v>
          </cell>
          <cell r="J1079">
            <v>94.341635413598695</v>
          </cell>
          <cell r="K1079">
            <v>10.377579895495842</v>
          </cell>
          <cell r="L1079">
            <v>10397297.297297299</v>
          </cell>
          <cell r="M1079">
            <v>1143702.7027027011</v>
          </cell>
          <cell r="P1079">
            <v>0</v>
          </cell>
          <cell r="Q1079">
            <v>3931393.0023636492</v>
          </cell>
          <cell r="R1079">
            <v>344641.8012570758</v>
          </cell>
          <cell r="S1079">
            <v>4809043.0138473529</v>
          </cell>
          <cell r="T1079">
            <v>1123536.2011256041</v>
          </cell>
          <cell r="U1079">
            <v>0</v>
          </cell>
          <cell r="V1079">
            <v>0</v>
          </cell>
          <cell r="W1079">
            <v>0</v>
          </cell>
          <cell r="X1079">
            <v>0</v>
          </cell>
          <cell r="Y1079">
            <v>0</v>
          </cell>
          <cell r="Z1079">
            <v>0</v>
          </cell>
          <cell r="AA1079">
            <v>0</v>
          </cell>
          <cell r="AB1079">
            <v>188683.27870361722</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10397297.297297297</v>
          </cell>
          <cell r="AS1079">
            <v>0</v>
          </cell>
        </row>
        <row r="1080">
          <cell r="A1080" t="str">
            <v>04.01.01</v>
          </cell>
          <cell r="B1080" t="str">
            <v>小区道路工程</v>
          </cell>
          <cell r="C1080" t="str">
            <v>道路面积</v>
          </cell>
          <cell r="D1080" t="str">
            <v>m2</v>
          </cell>
          <cell r="E1080">
            <v>10200</v>
          </cell>
          <cell r="F1080">
            <v>230</v>
          </cell>
          <cell r="G1080">
            <v>2346000</v>
          </cell>
          <cell r="H1080">
            <v>0</v>
          </cell>
          <cell r="I1080">
            <v>0.10999999999999999</v>
          </cell>
          <cell r="J1080">
            <v>207.20720720720723</v>
          </cell>
          <cell r="K1080">
            <v>22.792792792792767</v>
          </cell>
          <cell r="L1080">
            <v>2113513.5135135138</v>
          </cell>
          <cell r="M1080">
            <v>232486.48648648616</v>
          </cell>
          <cell r="N1080" t="str">
            <v>参照惠深区域以往审核的结算数据，考虑一定的市场变化，小区道路工程按230元/m2进行控制（包括排水排污和道路划线）</v>
          </cell>
          <cell r="O1080" t="str">
            <v>占地面积</v>
          </cell>
          <cell r="P1080">
            <v>0</v>
          </cell>
          <cell r="Q1080">
            <v>799155.01113812672</v>
          </cell>
          <cell r="R1080">
            <v>70057.158456728168</v>
          </cell>
          <cell r="S1080">
            <v>977559.5624716999</v>
          </cell>
          <cell r="T1080">
            <v>228387.13524310431</v>
          </cell>
          <cell r="U1080">
            <v>0</v>
          </cell>
          <cell r="V1080">
            <v>0</v>
          </cell>
          <cell r="W1080">
            <v>0</v>
          </cell>
          <cell r="X1080">
            <v>0</v>
          </cell>
          <cell r="Y1080">
            <v>0</v>
          </cell>
          <cell r="Z1080">
            <v>0</v>
          </cell>
          <cell r="AA1080">
            <v>0</v>
          </cell>
          <cell r="AB1080">
            <v>38354.646203854601</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2113513.5135135138</v>
          </cell>
          <cell r="AS1080">
            <v>0</v>
          </cell>
        </row>
        <row r="1081">
          <cell r="A1081" t="str">
            <v>04.01.02</v>
          </cell>
          <cell r="B1081" t="str">
            <v>小区桥梁涵洞</v>
          </cell>
          <cell r="C1081" t="str">
            <v>桥梁面积</v>
          </cell>
          <cell r="D1081" t="str">
            <v>m2</v>
          </cell>
          <cell r="G1081">
            <v>0</v>
          </cell>
          <cell r="H1081">
            <v>0</v>
          </cell>
          <cell r="I1081">
            <v>0.10999999999999999</v>
          </cell>
          <cell r="J1081">
            <v>0</v>
          </cell>
          <cell r="K1081">
            <v>0</v>
          </cell>
          <cell r="L1081">
            <v>0</v>
          </cell>
          <cell r="M1081">
            <v>0</v>
          </cell>
          <cell r="O1081" t="str">
            <v>占地面积</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row>
        <row r="1082">
          <cell r="A1082" t="str">
            <v>04.01.03</v>
          </cell>
          <cell r="B1082" t="str">
            <v>挡土墙</v>
          </cell>
          <cell r="C1082" t="str">
            <v>挡土墙测算体积</v>
          </cell>
          <cell r="D1082" t="str">
            <v>m3</v>
          </cell>
          <cell r="E1082">
            <v>1350</v>
          </cell>
          <cell r="F1082">
            <v>2500</v>
          </cell>
          <cell r="G1082">
            <v>3375000</v>
          </cell>
          <cell r="H1082">
            <v>0</v>
          </cell>
          <cell r="I1082">
            <v>0.10999999999999999</v>
          </cell>
          <cell r="J1082">
            <v>2252.2522522522527</v>
          </cell>
          <cell r="K1082">
            <v>247.74774774774733</v>
          </cell>
          <cell r="L1082">
            <v>3040540.5405405411</v>
          </cell>
          <cell r="M1082">
            <v>334459.45945945894</v>
          </cell>
          <cell r="N1082" t="str">
            <v>考虑高低差3米高结构挡墙，长度约1500米，300mm厚</v>
          </cell>
          <cell r="O1082" t="str">
            <v>占地面积</v>
          </cell>
          <cell r="P1082">
            <v>0</v>
          </cell>
          <cell r="Q1082">
            <v>1149679.5236961544</v>
          </cell>
          <cell r="R1082">
            <v>100785.55404580459</v>
          </cell>
          <cell r="S1082">
            <v>1406335.6876990569</v>
          </cell>
          <cell r="T1082">
            <v>328562.05517710018</v>
          </cell>
          <cell r="U1082">
            <v>0</v>
          </cell>
          <cell r="V1082">
            <v>0</v>
          </cell>
          <cell r="W1082">
            <v>0</v>
          </cell>
          <cell r="X1082">
            <v>0</v>
          </cell>
          <cell r="Y1082">
            <v>0</v>
          </cell>
          <cell r="Z1082">
            <v>0</v>
          </cell>
          <cell r="AA1082">
            <v>0</v>
          </cell>
          <cell r="AB1082">
            <v>55177.719922425102</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3040540.5405405411</v>
          </cell>
          <cell r="AS1082">
            <v>0</v>
          </cell>
        </row>
        <row r="1083">
          <cell r="A1083" t="str">
            <v>04.01.04</v>
          </cell>
          <cell r="B1083" t="str">
            <v>护坡</v>
          </cell>
          <cell r="C1083" t="str">
            <v>护坡测算面积</v>
          </cell>
          <cell r="D1083" t="str">
            <v>m2</v>
          </cell>
          <cell r="G1083">
            <v>0</v>
          </cell>
          <cell r="H1083">
            <v>0</v>
          </cell>
          <cell r="I1083">
            <v>0.10999999999999999</v>
          </cell>
          <cell r="J1083">
            <v>0</v>
          </cell>
          <cell r="K1083">
            <v>0</v>
          </cell>
          <cell r="L1083">
            <v>0</v>
          </cell>
          <cell r="M1083">
            <v>0</v>
          </cell>
          <cell r="O1083" t="str">
            <v>占地面积</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row>
        <row r="1084">
          <cell r="A1084" t="str">
            <v>04.01.05</v>
          </cell>
          <cell r="B1084" t="str">
            <v>围墙</v>
          </cell>
          <cell r="C1084" t="str">
            <v>围墙长度</v>
          </cell>
          <cell r="D1084" t="str">
            <v>m</v>
          </cell>
          <cell r="E1084">
            <v>600</v>
          </cell>
          <cell r="F1084">
            <v>1150</v>
          </cell>
          <cell r="G1084">
            <v>690000</v>
          </cell>
          <cell r="H1084">
            <v>0</v>
          </cell>
          <cell r="I1084">
            <v>0.10999999999999999</v>
          </cell>
          <cell r="J1084">
            <v>1036.0360360360362</v>
          </cell>
          <cell r="K1084">
            <v>113.96396396396381</v>
          </cell>
          <cell r="L1084">
            <v>621621.62162162177</v>
          </cell>
          <cell r="M1084">
            <v>68378.378378378227</v>
          </cell>
          <cell r="N1084" t="str">
            <v>参照三期别墅外围1.1m高玻璃栏杆结算价格为1035元/m，不含基础部分，现围墙按1150元/米计算（含基础）。</v>
          </cell>
          <cell r="O1084" t="str">
            <v>占地面积</v>
          </cell>
          <cell r="P1084">
            <v>0</v>
          </cell>
          <cell r="Q1084">
            <v>235045.59151121377</v>
          </cell>
          <cell r="R1084">
            <v>20605.046604920051</v>
          </cell>
          <cell r="S1084">
            <v>287517.51837402943</v>
          </cell>
          <cell r="T1084">
            <v>67172.686836207155</v>
          </cell>
          <cell r="U1084">
            <v>0</v>
          </cell>
          <cell r="V1084">
            <v>0</v>
          </cell>
          <cell r="W1084">
            <v>0</v>
          </cell>
          <cell r="X1084">
            <v>0</v>
          </cell>
          <cell r="Y1084">
            <v>0</v>
          </cell>
          <cell r="Z1084">
            <v>0</v>
          </cell>
          <cell r="AA1084">
            <v>0</v>
          </cell>
          <cell r="AB1084">
            <v>11280.778295251355</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621621.62162162177</v>
          </cell>
          <cell r="AS1084">
            <v>0</v>
          </cell>
        </row>
        <row r="1085">
          <cell r="A1085" t="str">
            <v>04.01.06</v>
          </cell>
          <cell r="B1085" t="str">
            <v>分户围栏</v>
          </cell>
          <cell r="C1085" t="str">
            <v>围栏长度</v>
          </cell>
          <cell r="D1085" t="str">
            <v>m2</v>
          </cell>
          <cell r="E1085">
            <v>3000</v>
          </cell>
          <cell r="F1085">
            <v>350</v>
          </cell>
          <cell r="G1085">
            <v>1050000</v>
          </cell>
          <cell r="H1085">
            <v>0</v>
          </cell>
          <cell r="I1085">
            <v>0.10999999999999999</v>
          </cell>
          <cell r="J1085">
            <v>315.31531531531533</v>
          </cell>
          <cell r="K1085">
            <v>34.684684684684669</v>
          </cell>
          <cell r="L1085">
            <v>945945.94594594603</v>
          </cell>
          <cell r="M1085">
            <v>104054.05405405397</v>
          </cell>
          <cell r="N1085" t="str">
            <v>分户围栏按照350元/m2</v>
          </cell>
          <cell r="O1085" t="str">
            <v>占地面积</v>
          </cell>
          <cell r="P1085">
            <v>0</v>
          </cell>
          <cell r="Q1085">
            <v>357678.07403880352</v>
          </cell>
          <cell r="R1085">
            <v>31355.505703139206</v>
          </cell>
          <cell r="S1085">
            <v>437526.65839526209</v>
          </cell>
          <cell r="T1085">
            <v>102219.30605509783</v>
          </cell>
          <cell r="U1085">
            <v>0</v>
          </cell>
          <cell r="V1085">
            <v>0</v>
          </cell>
          <cell r="W1085">
            <v>0</v>
          </cell>
          <cell r="X1085">
            <v>0</v>
          </cell>
          <cell r="Y1085">
            <v>0</v>
          </cell>
          <cell r="Z1085">
            <v>0</v>
          </cell>
          <cell r="AA1085">
            <v>0</v>
          </cell>
          <cell r="AB1085">
            <v>17166.401753643364</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945945.94594594603</v>
          </cell>
          <cell r="AS1085">
            <v>0</v>
          </cell>
        </row>
        <row r="1086">
          <cell r="A1086" t="str">
            <v>04.01.07</v>
          </cell>
          <cell r="B1086" t="str">
            <v xml:space="preserve">排水排污工程 </v>
          </cell>
          <cell r="C1086" t="str">
            <v>道路面积</v>
          </cell>
          <cell r="D1086" t="str">
            <v>m2</v>
          </cell>
          <cell r="E1086">
            <v>10200</v>
          </cell>
          <cell r="F1086">
            <v>400</v>
          </cell>
          <cell r="G1086">
            <v>4080000</v>
          </cell>
          <cell r="H1086">
            <v>0</v>
          </cell>
          <cell r="I1086">
            <v>0.10999999999999999</v>
          </cell>
          <cell r="J1086">
            <v>360.3603603603604</v>
          </cell>
          <cell r="K1086">
            <v>39.639639639639597</v>
          </cell>
          <cell r="L1086">
            <v>3675675.6756756762</v>
          </cell>
          <cell r="M1086">
            <v>404324.3243243238</v>
          </cell>
          <cell r="N1086" t="str">
            <v>按照集团审核的黄埠项目目标成本集团审核数据，道路工程的土建单价及水电安装按照230元/平方米，排水排污按照170元/平方米。</v>
          </cell>
          <cell r="O1086" t="str">
            <v>占地面积</v>
          </cell>
          <cell r="P1086">
            <v>0</v>
          </cell>
          <cell r="Q1086">
            <v>1389834.8019793509</v>
          </cell>
          <cell r="R1086">
            <v>121838.53644648378</v>
          </cell>
          <cell r="S1086">
            <v>1700103.5869073041</v>
          </cell>
          <cell r="T1086">
            <v>397195.01781409443</v>
          </cell>
          <cell r="U1086">
            <v>0</v>
          </cell>
          <cell r="V1086">
            <v>0</v>
          </cell>
          <cell r="W1086">
            <v>0</v>
          </cell>
          <cell r="X1086">
            <v>0</v>
          </cell>
          <cell r="Y1086">
            <v>0</v>
          </cell>
          <cell r="Z1086">
            <v>0</v>
          </cell>
          <cell r="AA1086">
            <v>0</v>
          </cell>
          <cell r="AB1086">
            <v>66703.732528442793</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3675675.6756756757</v>
          </cell>
          <cell r="AS1086">
            <v>0</v>
          </cell>
        </row>
        <row r="1087">
          <cell r="A1087" t="str">
            <v>04.02</v>
          </cell>
          <cell r="B1087" t="str">
            <v>园建工程</v>
          </cell>
          <cell r="C1087" t="str">
            <v>室外占地面积</v>
          </cell>
          <cell r="D1087" t="str">
            <v>m2</v>
          </cell>
          <cell r="E1087">
            <v>110209</v>
          </cell>
          <cell r="F1087">
            <v>175.05412806576595</v>
          </cell>
          <cell r="G1087">
            <v>19292540.399999999</v>
          </cell>
          <cell r="I1087">
            <v>0.10999999999999999</v>
          </cell>
          <cell r="J1087">
            <v>157.70642168087022</v>
          </cell>
          <cell r="K1087">
            <v>17.34770638489573</v>
          </cell>
          <cell r="L1087">
            <v>17380667.027027026</v>
          </cell>
          <cell r="M1087">
            <v>1911873.3729729727</v>
          </cell>
          <cell r="P1087">
            <v>0</v>
          </cell>
          <cell r="Q1087">
            <v>6571922.5653217221</v>
          </cell>
          <cell r="R1087">
            <v>576121.29575261276</v>
          </cell>
          <cell r="S1087">
            <v>8039048.3173024692</v>
          </cell>
          <cell r="T1087">
            <v>1878161.9921218469</v>
          </cell>
          <cell r="U1087">
            <v>0</v>
          </cell>
          <cell r="V1087">
            <v>0</v>
          </cell>
          <cell r="W1087">
            <v>0</v>
          </cell>
          <cell r="X1087">
            <v>0</v>
          </cell>
          <cell r="Y1087">
            <v>0</v>
          </cell>
          <cell r="Z1087">
            <v>0</v>
          </cell>
          <cell r="AA1087">
            <v>0</v>
          </cell>
          <cell r="AB1087">
            <v>315412.85652837664</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17380667.027027026</v>
          </cell>
          <cell r="AS1087">
            <v>0</v>
          </cell>
        </row>
        <row r="1088">
          <cell r="A1088" t="str">
            <v>04.02.01</v>
          </cell>
          <cell r="B1088" t="str">
            <v>示范区园建工程</v>
          </cell>
          <cell r="C1088" t="str">
            <v>园建面积</v>
          </cell>
          <cell r="D1088" t="str">
            <v>m2</v>
          </cell>
          <cell r="E1088">
            <v>3742.4400000000005</v>
          </cell>
          <cell r="F1088">
            <v>550</v>
          </cell>
          <cell r="G1088">
            <v>2058342.0000000002</v>
          </cell>
          <cell r="H1088">
            <v>0</v>
          </cell>
          <cell r="I1088">
            <v>0.10999999999999999</v>
          </cell>
          <cell r="J1088">
            <v>495.49549549549556</v>
          </cell>
          <cell r="K1088">
            <v>54.504504504504439</v>
          </cell>
          <cell r="L1088">
            <v>1854362.1621621626</v>
          </cell>
          <cell r="M1088">
            <v>203979.83783783764</v>
          </cell>
          <cell r="O1088" t="str">
            <v>占地面积</v>
          </cell>
          <cell r="P1088">
            <v>0</v>
          </cell>
          <cell r="Q1088">
            <v>701165.52597445622</v>
          </cell>
          <cell r="R1088">
            <v>61467.004114296156</v>
          </cell>
          <cell r="S1088">
            <v>857694.75913773396</v>
          </cell>
          <cell r="T1088">
            <v>200383.13415624973</v>
          </cell>
          <cell r="U1088">
            <v>0</v>
          </cell>
          <cell r="V1088">
            <v>0</v>
          </cell>
          <cell r="W1088">
            <v>0</v>
          </cell>
          <cell r="X1088">
            <v>0</v>
          </cell>
          <cell r="Y1088">
            <v>0</v>
          </cell>
          <cell r="Z1088">
            <v>0</v>
          </cell>
          <cell r="AA1088">
            <v>0</v>
          </cell>
          <cell r="AB1088">
            <v>33651.738779426472</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1854362.1621621626</v>
          </cell>
          <cell r="AS1088">
            <v>0</v>
          </cell>
        </row>
        <row r="1089">
          <cell r="A1089" t="str">
            <v>04.02.02</v>
          </cell>
          <cell r="B1089" t="str">
            <v>货量区园建工程</v>
          </cell>
          <cell r="C1089" t="str">
            <v>园建面积</v>
          </cell>
          <cell r="D1089" t="str">
            <v>m2</v>
          </cell>
          <cell r="E1089">
            <v>33479.579999999994</v>
          </cell>
          <cell r="F1089">
            <v>480</v>
          </cell>
          <cell r="G1089">
            <v>16070198.399999997</v>
          </cell>
          <cell r="H1089">
            <v>0</v>
          </cell>
          <cell r="I1089">
            <v>0.10999999999999999</v>
          </cell>
          <cell r="J1089">
            <v>432.43243243243251</v>
          </cell>
          <cell r="K1089">
            <v>47.567567567567494</v>
          </cell>
          <cell r="L1089">
            <v>14477656.216216216</v>
          </cell>
          <cell r="M1089">
            <v>1592542.1837837808</v>
          </cell>
          <cell r="N1089" t="str">
            <v>货量区绿化园建按7:3划分，园建为36258.32m2;参照集团经验数据及黄埠项目集团审核单价400元/m2，考虑1.2的堆坡系数</v>
          </cell>
          <cell r="O1089" t="str">
            <v>占地面积</v>
          </cell>
          <cell r="P1089">
            <v>0</v>
          </cell>
          <cell r="Q1089">
            <v>5474245.3458413919</v>
          </cell>
          <cell r="R1089">
            <v>479894.47388740804</v>
          </cell>
          <cell r="S1089">
            <v>6696324.005429416</v>
          </cell>
          <cell r="T1089">
            <v>1564461.4558245174</v>
          </cell>
          <cell r="U1089">
            <v>0</v>
          </cell>
          <cell r="V1089">
            <v>0</v>
          </cell>
          <cell r="W1089">
            <v>0</v>
          </cell>
          <cell r="X1089">
            <v>0</v>
          </cell>
          <cell r="Y1089">
            <v>0</v>
          </cell>
          <cell r="Z1089">
            <v>0</v>
          </cell>
          <cell r="AA1089">
            <v>0</v>
          </cell>
          <cell r="AB1089">
            <v>262730.93523348263</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14477656.216216216</v>
          </cell>
          <cell r="AS1089">
            <v>0</v>
          </cell>
        </row>
        <row r="1090">
          <cell r="A1090" t="str">
            <v>04.03.03</v>
          </cell>
          <cell r="B1090" t="str">
            <v>小区广场</v>
          </cell>
          <cell r="C1090" t="str">
            <v>广场面积</v>
          </cell>
          <cell r="D1090" t="str">
            <v>m2</v>
          </cell>
          <cell r="G1090">
            <v>0</v>
          </cell>
          <cell r="H1090">
            <v>0</v>
          </cell>
          <cell r="I1090">
            <v>0.10999999999999999</v>
          </cell>
          <cell r="J1090">
            <v>0</v>
          </cell>
          <cell r="K1090">
            <v>0</v>
          </cell>
          <cell r="L1090">
            <v>0</v>
          </cell>
          <cell r="M1090">
            <v>0</v>
          </cell>
          <cell r="O1090" t="str">
            <v>占地面积</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row>
        <row r="1091">
          <cell r="A1091" t="str">
            <v>04.02.04</v>
          </cell>
          <cell r="B1091" t="str">
            <v>室外游泳池（含泳池设备）</v>
          </cell>
          <cell r="C1091" t="str">
            <v>泳池面积</v>
          </cell>
          <cell r="D1091" t="str">
            <v>m2</v>
          </cell>
          <cell r="E1091">
            <v>970</v>
          </cell>
          <cell r="F1091">
            <v>1200</v>
          </cell>
          <cell r="G1091">
            <v>1164000</v>
          </cell>
          <cell r="H1091">
            <v>0</v>
          </cell>
          <cell r="I1091">
            <v>0.10999999999999999</v>
          </cell>
          <cell r="J1091">
            <v>1081.0810810810813</v>
          </cell>
          <cell r="K1091">
            <v>118.91891891891873</v>
          </cell>
          <cell r="L1091">
            <v>1048648.6486486488</v>
          </cell>
          <cell r="M1091">
            <v>115351.35135135124</v>
          </cell>
          <cell r="N1091" t="str">
            <v>泳池面积为3000m2;预估1400元/m2的泳池建造成本（原水系取消后改为园建，新增成人泳池及儿童泳池）</v>
          </cell>
          <cell r="O1091" t="str">
            <v>占地面积</v>
          </cell>
          <cell r="P1091">
            <v>0</v>
          </cell>
          <cell r="Q1091">
            <v>396511.69350587361</v>
          </cell>
          <cell r="R1091">
            <v>34759.817750908602</v>
          </cell>
          <cell r="S1091">
            <v>485029.55273531913</v>
          </cell>
          <cell r="T1091">
            <v>113317.40214107989</v>
          </cell>
          <cell r="U1091">
            <v>0</v>
          </cell>
          <cell r="V1091">
            <v>0</v>
          </cell>
          <cell r="W1091">
            <v>0</v>
          </cell>
          <cell r="X1091">
            <v>0</v>
          </cell>
          <cell r="Y1091">
            <v>0</v>
          </cell>
          <cell r="Z1091">
            <v>0</v>
          </cell>
          <cell r="AA1091">
            <v>0</v>
          </cell>
          <cell r="AB1091">
            <v>19030.182515467499</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1048648.6486486488</v>
          </cell>
          <cell r="AS1091">
            <v>0</v>
          </cell>
        </row>
        <row r="1092">
          <cell r="A1092" t="str">
            <v>04.02.05</v>
          </cell>
          <cell r="B1092" t="str">
            <v>人工湖</v>
          </cell>
          <cell r="C1092" t="str">
            <v>人工湖面积</v>
          </cell>
          <cell r="D1092" t="str">
            <v>m2</v>
          </cell>
          <cell r="G1092">
            <v>0</v>
          </cell>
          <cell r="H1092">
            <v>0</v>
          </cell>
          <cell r="I1092">
            <v>0.10999999999999999</v>
          </cell>
          <cell r="J1092">
            <v>0</v>
          </cell>
          <cell r="K1092">
            <v>0</v>
          </cell>
          <cell r="L1092">
            <v>0</v>
          </cell>
          <cell r="M1092">
            <v>0</v>
          </cell>
          <cell r="O1092" t="str">
            <v>占地面积</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row>
        <row r="1093">
          <cell r="A1093" t="str">
            <v>04.03</v>
          </cell>
          <cell r="B1093" t="str">
            <v>绿化工程</v>
          </cell>
          <cell r="C1093" t="str">
            <v>室外占地面积</v>
          </cell>
          <cell r="D1093" t="str">
            <v>m2</v>
          </cell>
          <cell r="E1093">
            <v>110209</v>
          </cell>
          <cell r="F1093">
            <v>149.43114990608751</v>
          </cell>
          <cell r="G1093">
            <v>16468657.6</v>
          </cell>
          <cell r="I1093">
            <v>0.10999999999999968</v>
          </cell>
          <cell r="J1093">
            <v>134.62265757305187</v>
          </cell>
          <cell r="K1093">
            <v>14.808492333035645</v>
          </cell>
          <cell r="L1093">
            <v>14836628.468468472</v>
          </cell>
          <cell r="M1093">
            <v>1632029.1315315273</v>
          </cell>
          <cell r="P1093">
            <v>0</v>
          </cell>
          <cell r="Q1093">
            <v>5609978.7927357191</v>
          </cell>
          <cell r="R1093">
            <v>491793.41647604463</v>
          </cell>
          <cell r="S1093">
            <v>6862358.7885559406</v>
          </cell>
          <cell r="T1093">
            <v>1603252.1443152505</v>
          </cell>
          <cell r="U1093">
            <v>0</v>
          </cell>
          <cell r="V1093">
            <v>0</v>
          </cell>
          <cell r="W1093">
            <v>0</v>
          </cell>
          <cell r="X1093">
            <v>0</v>
          </cell>
          <cell r="Y1093">
            <v>0</v>
          </cell>
          <cell r="Z1093">
            <v>0</v>
          </cell>
          <cell r="AA1093">
            <v>0</v>
          </cell>
          <cell r="AB1093">
            <v>269245.32638551632</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14836628.468468472</v>
          </cell>
          <cell r="AS1093">
            <v>0</v>
          </cell>
        </row>
        <row r="1094">
          <cell r="A1094" t="str">
            <v>04.03.01</v>
          </cell>
          <cell r="B1094" t="str">
            <v>示范区绿化工程</v>
          </cell>
          <cell r="C1094" t="str">
            <v>绿化面积</v>
          </cell>
          <cell r="D1094" t="str">
            <v>m2</v>
          </cell>
          <cell r="E1094">
            <v>5613.66</v>
          </cell>
          <cell r="F1094">
            <v>650</v>
          </cell>
          <cell r="G1094">
            <v>3648879</v>
          </cell>
          <cell r="H1094">
            <v>0</v>
          </cell>
          <cell r="I1094">
            <v>0.10999999999999999</v>
          </cell>
          <cell r="J1094">
            <v>585.5855855855857</v>
          </cell>
          <cell r="K1094">
            <v>64.414414414414296</v>
          </cell>
          <cell r="L1094">
            <v>3287278.3783783792</v>
          </cell>
          <cell r="M1094">
            <v>361600.62162162084</v>
          </cell>
          <cell r="O1094" t="str">
            <v>占地面积</v>
          </cell>
          <cell r="P1094">
            <v>0</v>
          </cell>
          <cell r="Q1094">
            <v>1242975.2505910816</v>
          </cell>
          <cell r="R1094">
            <v>108964.23456625229</v>
          </cell>
          <cell r="S1094">
            <v>1520458.8911987103</v>
          </cell>
          <cell r="T1094">
            <v>355224.64691335178</v>
          </cell>
          <cell r="U1094">
            <v>0</v>
          </cell>
          <cell r="V1094">
            <v>0</v>
          </cell>
          <cell r="W1094">
            <v>0</v>
          </cell>
          <cell r="X1094">
            <v>0</v>
          </cell>
          <cell r="Y1094">
            <v>0</v>
          </cell>
          <cell r="Z1094">
            <v>0</v>
          </cell>
          <cell r="AA1094">
            <v>0</v>
          </cell>
          <cell r="AB1094">
            <v>59655.355108983291</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3287278.3783783792</v>
          </cell>
          <cell r="AS1094">
            <v>0</v>
          </cell>
        </row>
        <row r="1095">
          <cell r="A1095" t="str">
            <v>04.03.02</v>
          </cell>
          <cell r="B1095" t="str">
            <v>货量区绿化工程</v>
          </cell>
          <cell r="C1095" t="str">
            <v>绿化面积</v>
          </cell>
          <cell r="D1095" t="str">
            <v>m2</v>
          </cell>
          <cell r="E1095">
            <v>22319.72</v>
          </cell>
          <cell r="F1095">
            <v>500</v>
          </cell>
          <cell r="G1095">
            <v>11159860</v>
          </cell>
          <cell r="H1095">
            <v>0</v>
          </cell>
          <cell r="I1095">
            <v>0.10999999999999999</v>
          </cell>
          <cell r="J1095">
            <v>450.45045045045049</v>
          </cell>
          <cell r="K1095">
            <v>49.549549549549511</v>
          </cell>
          <cell r="L1095">
            <v>10053927.92792793</v>
          </cell>
          <cell r="M1095">
            <v>1105932.0720720701</v>
          </cell>
          <cell r="N1095" t="str">
            <v>货量区绿化园建按6:4，按照图纸计算面积，考虑1.3放坡系数，单价除别墅区外按照350元/m2，别墅区按照500元/m2，</v>
          </cell>
          <cell r="O1095" t="str">
            <v>占地面积</v>
          </cell>
          <cell r="P1095">
            <v>0</v>
          </cell>
          <cell r="Q1095">
            <v>3801559.2679454116</v>
          </cell>
          <cell r="R1095">
            <v>333260.05131070013</v>
          </cell>
          <cell r="S1095">
            <v>4650225.0037704287</v>
          </cell>
          <cell r="T1095">
            <v>1086431.566544804</v>
          </cell>
          <cell r="U1095">
            <v>0</v>
          </cell>
          <cell r="V1095">
            <v>0</v>
          </cell>
          <cell r="W1095">
            <v>0</v>
          </cell>
          <cell r="X1095">
            <v>0</v>
          </cell>
          <cell r="Y1095">
            <v>0</v>
          </cell>
          <cell r="Z1095">
            <v>0</v>
          </cell>
          <cell r="AA1095">
            <v>0</v>
          </cell>
          <cell r="AB1095">
            <v>182452.0383565852</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10053927.927927932</v>
          </cell>
          <cell r="AS1095">
            <v>0</v>
          </cell>
        </row>
        <row r="1096">
          <cell r="A1096" t="str">
            <v>04.03.03</v>
          </cell>
          <cell r="B1096" t="str">
            <v>绿化堆坡造型</v>
          </cell>
          <cell r="C1096" t="str">
            <v>绿化面积</v>
          </cell>
          <cell r="D1096" t="str">
            <v>m2</v>
          </cell>
          <cell r="E1096">
            <v>27933.38</v>
          </cell>
          <cell r="F1096">
            <v>59.424194279389035</v>
          </cell>
          <cell r="G1096">
            <v>1659918.6</v>
          </cell>
          <cell r="H1096">
            <v>0</v>
          </cell>
          <cell r="I1096">
            <v>0.10999999999999999</v>
          </cell>
          <cell r="J1096">
            <v>53.535310161611747</v>
          </cell>
          <cell r="K1096">
            <v>5.8888841177772875</v>
          </cell>
          <cell r="L1096">
            <v>1495422.1621621624</v>
          </cell>
          <cell r="M1096">
            <v>164496.43783783773</v>
          </cell>
          <cell r="N1096" t="str">
            <v>1、外购种植土回填（94286.55-8000）*0.8=69029.24m3，单价暂按20元/m3
2、绿化堆坡造型按绿化面积10元/m2进行考虑</v>
          </cell>
          <cell r="O1096" t="str">
            <v>占地面积</v>
          </cell>
          <cell r="P1096">
            <v>0</v>
          </cell>
          <cell r="Q1096">
            <v>565444.27419922582</v>
          </cell>
          <cell r="R1096">
            <v>49569.130599092234</v>
          </cell>
          <cell r="S1096">
            <v>691674.8935868016</v>
          </cell>
          <cell r="T1096">
            <v>161595.93085709479</v>
          </cell>
          <cell r="U1096">
            <v>0</v>
          </cell>
          <cell r="V1096">
            <v>0</v>
          </cell>
          <cell r="W1096">
            <v>0</v>
          </cell>
          <cell r="X1096">
            <v>0</v>
          </cell>
          <cell r="Y1096">
            <v>0</v>
          </cell>
          <cell r="Z1096">
            <v>0</v>
          </cell>
          <cell r="AA1096">
            <v>0</v>
          </cell>
          <cell r="AB1096">
            <v>27137.932919947845</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1495422.1621621621</v>
          </cell>
          <cell r="AS1096">
            <v>0</v>
          </cell>
        </row>
        <row r="1097">
          <cell r="A1097" t="str">
            <v>04.04</v>
          </cell>
          <cell r="B1097" t="str">
            <v>建筑小品</v>
          </cell>
          <cell r="C1097" t="str">
            <v>室外占地面积</v>
          </cell>
          <cell r="D1097" t="str">
            <v>m2</v>
          </cell>
          <cell r="E1097">
            <v>110209</v>
          </cell>
          <cell r="F1097">
            <v>4.5368345597909423</v>
          </cell>
          <cell r="G1097">
            <v>500000</v>
          </cell>
          <cell r="I1097">
            <v>0.10999999999999995</v>
          </cell>
          <cell r="J1097">
            <v>4.0872383421540022</v>
          </cell>
          <cell r="K1097">
            <v>0.44959621763694013</v>
          </cell>
          <cell r="L1097">
            <v>450450.45045045047</v>
          </cell>
          <cell r="M1097">
            <v>49549.549549549527</v>
          </cell>
          <cell r="P1097">
            <v>0</v>
          </cell>
          <cell r="Q1097">
            <v>170322.89239943025</v>
          </cell>
          <cell r="R1097">
            <v>14931.19319197105</v>
          </cell>
          <cell r="S1097">
            <v>208346.02780726764</v>
          </cell>
          <cell r="T1097">
            <v>48675.86002623706</v>
          </cell>
          <cell r="U1097">
            <v>0</v>
          </cell>
          <cell r="V1097">
            <v>0</v>
          </cell>
          <cell r="W1097">
            <v>0</v>
          </cell>
          <cell r="X1097">
            <v>0</v>
          </cell>
          <cell r="Y1097">
            <v>0</v>
          </cell>
          <cell r="Z1097">
            <v>0</v>
          </cell>
          <cell r="AA1097">
            <v>0</v>
          </cell>
          <cell r="AB1097">
            <v>8174.4770255444582</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450450.45045045047</v>
          </cell>
          <cell r="AS1097">
            <v>0</v>
          </cell>
        </row>
        <row r="1098">
          <cell r="A1098" t="str">
            <v>04.04.01</v>
          </cell>
          <cell r="B1098" t="str">
            <v>示范区建筑小品</v>
          </cell>
          <cell r="C1098" t="str">
            <v>绿化面积</v>
          </cell>
          <cell r="D1098" t="str">
            <v>m2</v>
          </cell>
          <cell r="H1098">
            <v>0</v>
          </cell>
          <cell r="I1098">
            <v>0.10999999999999999</v>
          </cell>
          <cell r="J1098">
            <v>0</v>
          </cell>
          <cell r="K1098">
            <v>0</v>
          </cell>
          <cell r="L1098">
            <v>0</v>
          </cell>
          <cell r="M1098">
            <v>0</v>
          </cell>
          <cell r="O1098" t="str">
            <v>占地面积</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row>
        <row r="1099">
          <cell r="A1099" t="str">
            <v>04.04.02</v>
          </cell>
          <cell r="B1099" t="str">
            <v>货量区建筑小品</v>
          </cell>
          <cell r="C1099" t="str">
            <v>绿化面积</v>
          </cell>
          <cell r="D1099" t="str">
            <v>m2</v>
          </cell>
          <cell r="E1099">
            <v>22319.72</v>
          </cell>
          <cell r="F1099">
            <v>22.401714716851284</v>
          </cell>
          <cell r="G1099">
            <v>500000</v>
          </cell>
          <cell r="H1099">
            <v>0</v>
          </cell>
          <cell r="I1099">
            <v>0.10999999999999999</v>
          </cell>
          <cell r="J1099">
            <v>20.181724970136294</v>
          </cell>
          <cell r="K1099">
            <v>2.2199897467149903</v>
          </cell>
          <cell r="L1099">
            <v>450450.45045045047</v>
          </cell>
          <cell r="M1099">
            <v>49549.549549549527</v>
          </cell>
          <cell r="N1099" t="str">
            <v>货量区建筑小品暂按50万预留</v>
          </cell>
          <cell r="O1099" t="str">
            <v>占地面积</v>
          </cell>
          <cell r="P1099">
            <v>0</v>
          </cell>
          <cell r="Q1099">
            <v>170322.89239943025</v>
          </cell>
          <cell r="R1099">
            <v>14931.19319197105</v>
          </cell>
          <cell r="S1099">
            <v>208346.02780726764</v>
          </cell>
          <cell r="T1099">
            <v>48675.86002623706</v>
          </cell>
          <cell r="U1099">
            <v>0</v>
          </cell>
          <cell r="V1099">
            <v>0</v>
          </cell>
          <cell r="W1099">
            <v>0</v>
          </cell>
          <cell r="X1099">
            <v>0</v>
          </cell>
          <cell r="Y1099">
            <v>0</v>
          </cell>
          <cell r="Z1099">
            <v>0</v>
          </cell>
          <cell r="AA1099">
            <v>0</v>
          </cell>
          <cell r="AB1099">
            <v>8174.4770255444582</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450450.45045045047</v>
          </cell>
          <cell r="AS1099">
            <v>0</v>
          </cell>
        </row>
        <row r="1100">
          <cell r="A1100" t="str">
            <v>04.05</v>
          </cell>
          <cell r="B1100" t="str">
            <v>其他景观工程</v>
          </cell>
          <cell r="C1100" t="str">
            <v>室外占地面积</v>
          </cell>
          <cell r="D1100" t="str">
            <v>m2</v>
          </cell>
          <cell r="E1100">
            <v>110209</v>
          </cell>
          <cell r="F1100">
            <v>23.882746055222352</v>
          </cell>
          <cell r="G1100">
            <v>2632093.56</v>
          </cell>
          <cell r="I1100">
            <v>0.10999999999999961</v>
          </cell>
          <cell r="J1100">
            <v>21.515987437137259</v>
          </cell>
          <cell r="K1100">
            <v>2.3667586180850932</v>
          </cell>
          <cell r="L1100">
            <v>2371255.4594594603</v>
          </cell>
          <cell r="M1100">
            <v>260838.10054053972</v>
          </cell>
          <cell r="P1100">
            <v>0</v>
          </cell>
          <cell r="Q1100">
            <v>896611.57641022676</v>
          </cell>
          <cell r="R1100">
            <v>78600.594887405692</v>
          </cell>
          <cell r="S1100">
            <v>1096772.4760861804</v>
          </cell>
          <cell r="T1100">
            <v>256238.83540504001</v>
          </cell>
          <cell r="U1100">
            <v>0</v>
          </cell>
          <cell r="V1100">
            <v>0</v>
          </cell>
          <cell r="W1100">
            <v>0</v>
          </cell>
          <cell r="X1100">
            <v>0</v>
          </cell>
          <cell r="Y1100">
            <v>0</v>
          </cell>
          <cell r="Z1100">
            <v>0</v>
          </cell>
          <cell r="AA1100">
            <v>0</v>
          </cell>
          <cell r="AB1100">
            <v>43031.976670607059</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2371255.4594594599</v>
          </cell>
          <cell r="AS1100">
            <v>0</v>
          </cell>
        </row>
        <row r="1101">
          <cell r="A1101" t="str">
            <v>04.05.01</v>
          </cell>
          <cell r="B1101" t="str">
            <v>小区运动游乐设施</v>
          </cell>
          <cell r="C1101" t="str">
            <v>游乐设施占地面积</v>
          </cell>
          <cell r="D1101" t="str">
            <v>项</v>
          </cell>
          <cell r="E1101">
            <v>110208.99539942089</v>
          </cell>
          <cell r="F1101">
            <v>5.4442016990126083</v>
          </cell>
          <cell r="G1101">
            <v>600000</v>
          </cell>
          <cell r="H1101">
            <v>0</v>
          </cell>
          <cell r="I1101">
            <v>0.10999999999999999</v>
          </cell>
          <cell r="J1101">
            <v>4.9046862153266746</v>
          </cell>
          <cell r="K1101">
            <v>0.53951548368593372</v>
          </cell>
          <cell r="L1101">
            <v>540540.54054054059</v>
          </cell>
          <cell r="M1101">
            <v>59459.459459459409</v>
          </cell>
          <cell r="N1101" t="str">
            <v>组合滑梯1套20+成人健身设施20，暂按60万预估，包含水景部分改造后运动游乐设施。</v>
          </cell>
          <cell r="O1101" t="str">
            <v>占地面积</v>
          </cell>
          <cell r="P1101">
            <v>0</v>
          </cell>
          <cell r="Q1101">
            <v>204387.4708793163</v>
          </cell>
          <cell r="R1101">
            <v>17917.431830365258</v>
          </cell>
          <cell r="S1101">
            <v>250015.23336872121</v>
          </cell>
          <cell r="T1101">
            <v>58411.032031484472</v>
          </cell>
          <cell r="U1101">
            <v>0</v>
          </cell>
          <cell r="V1101">
            <v>0</v>
          </cell>
          <cell r="W1101">
            <v>0</v>
          </cell>
          <cell r="X1101">
            <v>0</v>
          </cell>
          <cell r="Y1101">
            <v>0</v>
          </cell>
          <cell r="Z1101">
            <v>0</v>
          </cell>
          <cell r="AA1101">
            <v>0</v>
          </cell>
          <cell r="AB1101">
            <v>9809.3724306533513</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540540.54054054059</v>
          </cell>
          <cell r="AS1101">
            <v>0</v>
          </cell>
        </row>
        <row r="1102">
          <cell r="A1102" t="str">
            <v>04.05.02</v>
          </cell>
          <cell r="B1102" t="str">
            <v>泛光照明</v>
          </cell>
          <cell r="C1102" t="str">
            <v>照明建筑面积</v>
          </cell>
          <cell r="D1102" t="str">
            <v>项</v>
          </cell>
          <cell r="E1102">
            <v>154715.32</v>
          </cell>
          <cell r="F1102">
            <v>3</v>
          </cell>
          <cell r="G1102">
            <v>464145.96</v>
          </cell>
          <cell r="H1102">
            <v>0</v>
          </cell>
          <cell r="I1102">
            <v>0.10999999999999999</v>
          </cell>
          <cell r="J1102">
            <v>2.7027027027027031</v>
          </cell>
          <cell r="K1102">
            <v>0.29729729729729693</v>
          </cell>
          <cell r="L1102">
            <v>418149.51351351361</v>
          </cell>
          <cell r="M1102">
            <v>45996.446486486413</v>
          </cell>
          <cell r="N1102" t="str">
            <v>按限额设计及安装考虑,按照3元/m2考虑</v>
          </cell>
          <cell r="O1102" t="str">
            <v>占地面积</v>
          </cell>
          <cell r="P1102">
            <v>0</v>
          </cell>
          <cell r="Q1102">
            <v>158109.36480542054</v>
          </cell>
          <cell r="R1102">
            <v>13860.505996065736</v>
          </cell>
          <cell r="S1102">
            <v>193405.93417758192</v>
          </cell>
          <cell r="T1102">
            <v>45185.407561406857</v>
          </cell>
          <cell r="U1102">
            <v>0</v>
          </cell>
          <cell r="V1102">
            <v>0</v>
          </cell>
          <cell r="W1102">
            <v>0</v>
          </cell>
          <cell r="X1102">
            <v>0</v>
          </cell>
          <cell r="Y1102">
            <v>0</v>
          </cell>
          <cell r="Z1102">
            <v>0</v>
          </cell>
          <cell r="AA1102">
            <v>0</v>
          </cell>
          <cell r="AB1102">
            <v>7588.3009730385556</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418149.51351351361</v>
          </cell>
          <cell r="AS1102">
            <v>0</v>
          </cell>
        </row>
        <row r="1103">
          <cell r="A1103" t="str">
            <v>04.05.03</v>
          </cell>
          <cell r="B1103" t="str">
            <v>信报箱工程</v>
          </cell>
          <cell r="C1103" t="str">
            <v>总户数</v>
          </cell>
          <cell r="D1103" t="str">
            <v>户</v>
          </cell>
          <cell r="E1103">
            <v>1380</v>
          </cell>
          <cell r="F1103">
            <v>258.55072463768118</v>
          </cell>
          <cell r="G1103">
            <v>356800</v>
          </cell>
          <cell r="H1103">
            <v>0</v>
          </cell>
          <cell r="I1103">
            <v>0.10999999999999999</v>
          </cell>
          <cell r="J1103">
            <v>232.92858075466776</v>
          </cell>
          <cell r="K1103">
            <v>25.622143883013422</v>
          </cell>
          <cell r="L1103">
            <v>321441.44144144154</v>
          </cell>
          <cell r="M1103">
            <v>35358.558558558463</v>
          </cell>
          <cell r="N1103" t="str">
            <v>参照银滩结算别墅暂按400元/户预留，洋房按照200元/户考虑</v>
          </cell>
          <cell r="O1103" t="str">
            <v>占地面积</v>
          </cell>
          <cell r="P1103">
            <v>0</v>
          </cell>
          <cell r="Q1103">
            <v>121542.41601623344</v>
          </cell>
          <cell r="R1103">
            <v>10654.899461790543</v>
          </cell>
          <cell r="S1103">
            <v>148675.72544326624</v>
          </cell>
          <cell r="T1103">
            <v>34735.093714722774</v>
          </cell>
          <cell r="U1103">
            <v>0</v>
          </cell>
          <cell r="V1103">
            <v>0</v>
          </cell>
          <cell r="W1103">
            <v>0</v>
          </cell>
          <cell r="X1103">
            <v>0</v>
          </cell>
          <cell r="Y1103">
            <v>0</v>
          </cell>
          <cell r="Z1103">
            <v>0</v>
          </cell>
          <cell r="AA1103">
            <v>0</v>
          </cell>
          <cell r="AB1103">
            <v>5833.3068054285268</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321441.44144144154</v>
          </cell>
          <cell r="AS1103">
            <v>0</v>
          </cell>
        </row>
        <row r="1104">
          <cell r="A1104" t="str">
            <v>04.05.04</v>
          </cell>
          <cell r="B1104" t="str">
            <v>交通设施</v>
          </cell>
          <cell r="C1104" t="str">
            <v>道路面积</v>
          </cell>
          <cell r="D1104" t="str">
            <v>m2</v>
          </cell>
          <cell r="E1104">
            <v>10200</v>
          </cell>
          <cell r="F1104">
            <v>24</v>
          </cell>
          <cell r="G1104">
            <v>244800</v>
          </cell>
          <cell r="H1104">
            <v>0</v>
          </cell>
          <cell r="I1104">
            <v>0.10999999999999999</v>
          </cell>
          <cell r="J1104">
            <v>21.621621621621625</v>
          </cell>
          <cell r="K1104">
            <v>2.3783783783783754</v>
          </cell>
          <cell r="L1104">
            <v>220540.54054054056</v>
          </cell>
          <cell r="M1104">
            <v>24259.459459459438</v>
          </cell>
          <cell r="N1104" t="str">
            <v>参照大亚湾三期数据，（本项目无地下室地坪漆），地上车位划线及指示牌等考虑24元/m2</v>
          </cell>
          <cell r="O1104" t="str">
            <v>占地面积</v>
          </cell>
          <cell r="P1104">
            <v>0</v>
          </cell>
          <cell r="Q1104">
            <v>83390.08811876105</v>
          </cell>
          <cell r="R1104">
            <v>7310.3121867890259</v>
          </cell>
          <cell r="S1104">
            <v>102006.21521443824</v>
          </cell>
          <cell r="T1104">
            <v>23831.701068845665</v>
          </cell>
          <cell r="U1104">
            <v>0</v>
          </cell>
          <cell r="V1104">
            <v>0</v>
          </cell>
          <cell r="W1104">
            <v>0</v>
          </cell>
          <cell r="X1104">
            <v>0</v>
          </cell>
          <cell r="Y1104">
            <v>0</v>
          </cell>
          <cell r="Z1104">
            <v>0</v>
          </cell>
          <cell r="AA1104">
            <v>0</v>
          </cell>
          <cell r="AB1104">
            <v>4002.2239517065673</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220540.54054054056</v>
          </cell>
          <cell r="AS1104">
            <v>0</v>
          </cell>
        </row>
        <row r="1105">
          <cell r="A1105" t="str">
            <v>04.05.05</v>
          </cell>
          <cell r="B1105" t="str">
            <v>门牌、交通指示牌</v>
          </cell>
          <cell r="C1105" t="str">
            <v>建筑面积</v>
          </cell>
          <cell r="D1105" t="str">
            <v>m2</v>
          </cell>
          <cell r="E1105">
            <v>241586.90000000002</v>
          </cell>
          <cell r="F1105">
            <v>4</v>
          </cell>
          <cell r="G1105">
            <v>966347.60000000009</v>
          </cell>
          <cell r="H1105">
            <v>0</v>
          </cell>
          <cell r="I1105">
            <v>0.10999999999999999</v>
          </cell>
          <cell r="J1105">
            <v>3.6036036036036041</v>
          </cell>
          <cell r="K1105">
            <v>0.3963963963963959</v>
          </cell>
          <cell r="L1105">
            <v>870583.42342342366</v>
          </cell>
          <cell r="M1105">
            <v>95764.176576576428</v>
          </cell>
          <cell r="N1105" t="str">
            <v>考虑室外交通指示牌、单元楼及分户门牌，参照十里银滩结算暂按1元/m2预留</v>
          </cell>
          <cell r="O1105" t="str">
            <v>占地面积</v>
          </cell>
          <cell r="P1105">
            <v>0</v>
          </cell>
          <cell r="Q1105">
            <v>329182.23659049539</v>
          </cell>
          <cell r="R1105">
            <v>28857.445412395133</v>
          </cell>
          <cell r="S1105">
            <v>402669.36788217281</v>
          </cell>
          <cell r="T1105">
            <v>94075.601028580262</v>
          </cell>
          <cell r="U1105">
            <v>0</v>
          </cell>
          <cell r="V1105">
            <v>0</v>
          </cell>
          <cell r="W1105">
            <v>0</v>
          </cell>
          <cell r="X1105">
            <v>0</v>
          </cell>
          <cell r="Y1105">
            <v>0</v>
          </cell>
          <cell r="Z1105">
            <v>0</v>
          </cell>
          <cell r="AA1105">
            <v>0</v>
          </cell>
          <cell r="AB1105">
            <v>15798.772509780056</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870583.42342342355</v>
          </cell>
          <cell r="AS1105">
            <v>0</v>
          </cell>
        </row>
        <row r="1106">
          <cell r="A1106" t="str">
            <v>04.06</v>
          </cell>
          <cell r="B1106" t="str">
            <v>红线外景观工程</v>
          </cell>
          <cell r="C1106" t="str">
            <v>红线外景观占地面积</v>
          </cell>
          <cell r="D1106" t="str">
            <v>m2</v>
          </cell>
          <cell r="E1106">
            <v>0</v>
          </cell>
          <cell r="F1106">
            <v>0</v>
          </cell>
          <cell r="G1106">
            <v>0</v>
          </cell>
          <cell r="H1106">
            <v>0</v>
          </cell>
          <cell r="I1106">
            <v>0.10999999999999999</v>
          </cell>
          <cell r="J1106">
            <v>0</v>
          </cell>
          <cell r="K1106">
            <v>0</v>
          </cell>
          <cell r="L1106">
            <v>0</v>
          </cell>
          <cell r="M1106">
            <v>0</v>
          </cell>
          <cell r="O1106" t="str">
            <v>占地面积</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row>
        <row r="1107">
          <cell r="A1107" t="str">
            <v>05</v>
          </cell>
          <cell r="B1107" t="str">
            <v>社区管网工程</v>
          </cell>
          <cell r="C1107" t="str">
            <v>建筑面积</v>
          </cell>
          <cell r="D1107" t="str">
            <v>m2</v>
          </cell>
          <cell r="E1107">
            <v>241586.90000000002</v>
          </cell>
          <cell r="F1107">
            <v>231.27643867487916</v>
          </cell>
          <cell r="G1107">
            <v>55873357.862504169</v>
          </cell>
          <cell r="I1107">
            <v>1.9172004784261669E-2</v>
          </cell>
          <cell r="J1107">
            <v>226.92581584777318</v>
          </cell>
          <cell r="K1107">
            <v>4.3506228271059797</v>
          </cell>
          <cell r="L1107">
            <v>54822304.380634397</v>
          </cell>
          <cell r="M1107">
            <v>1051053.4818697721</v>
          </cell>
          <cell r="P1107">
            <v>0</v>
          </cell>
          <cell r="Q1107">
            <v>9450330.1795292106</v>
          </cell>
          <cell r="R1107">
            <v>828454.14172250824</v>
          </cell>
          <cell r="S1107">
            <v>35533213.127582714</v>
          </cell>
          <cell r="T1107">
            <v>8301620.7541074716</v>
          </cell>
          <cell r="U1107">
            <v>0</v>
          </cell>
          <cell r="V1107">
            <v>0</v>
          </cell>
          <cell r="W1107">
            <v>0</v>
          </cell>
          <cell r="X1107">
            <v>0</v>
          </cell>
          <cell r="Y1107">
            <v>0</v>
          </cell>
          <cell r="Z1107">
            <v>0</v>
          </cell>
          <cell r="AA1107">
            <v>0</v>
          </cell>
          <cell r="AB1107">
            <v>708686.17769247922</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54822304.38063439</v>
          </cell>
          <cell r="AS1107">
            <v>0</v>
          </cell>
        </row>
        <row r="1108">
          <cell r="A1108" t="str">
            <v>05.01</v>
          </cell>
          <cell r="B1108" t="str">
            <v>小市政管网工程</v>
          </cell>
          <cell r="C1108" t="str">
            <v>室外占地面积</v>
          </cell>
          <cell r="D1108" t="str">
            <v>m2</v>
          </cell>
          <cell r="E1108">
            <v>110209</v>
          </cell>
          <cell r="F1108">
            <v>110.39625257465362</v>
          </cell>
          <cell r="G1108">
            <v>12166660.6</v>
          </cell>
          <cell r="I1108">
            <v>0.10999999999999989</v>
          </cell>
          <cell r="J1108">
            <v>99.456083400588852</v>
          </cell>
          <cell r="K1108">
            <v>10.940169174064764</v>
          </cell>
          <cell r="L1108">
            <v>10960955.495495496</v>
          </cell>
          <cell r="M1108">
            <v>1205705.1045045033</v>
          </cell>
          <cell r="P1108">
            <v>0</v>
          </cell>
          <cell r="Q1108">
            <v>1889461.7744698126</v>
          </cell>
          <cell r="R1108">
            <v>165637.85634459773</v>
          </cell>
          <cell r="S1108">
            <v>7104370.6043296317</v>
          </cell>
          <cell r="T1108">
            <v>1659793.3387564181</v>
          </cell>
          <cell r="U1108">
            <v>0</v>
          </cell>
          <cell r="V1108">
            <v>0</v>
          </cell>
          <cell r="W1108">
            <v>0</v>
          </cell>
          <cell r="X1108">
            <v>0</v>
          </cell>
          <cell r="Y1108">
            <v>0</v>
          </cell>
          <cell r="Z1108">
            <v>0</v>
          </cell>
          <cell r="AA1108">
            <v>0</v>
          </cell>
          <cell r="AB1108">
            <v>141691.92159503658</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10960955.495495496</v>
          </cell>
          <cell r="AS1108">
            <v>0</v>
          </cell>
        </row>
        <row r="1109">
          <cell r="A1109" t="str">
            <v>05.01.01</v>
          </cell>
          <cell r="B1109" t="str">
            <v>小市政安装工程</v>
          </cell>
          <cell r="C1109" t="str">
            <v>小市政占地面积</v>
          </cell>
          <cell r="D1109" t="str">
            <v>m2</v>
          </cell>
          <cell r="E1109">
            <v>110209</v>
          </cell>
          <cell r="F1109">
            <v>100</v>
          </cell>
          <cell r="G1109">
            <v>11020900</v>
          </cell>
          <cell r="H1109">
            <v>0</v>
          </cell>
          <cell r="I1109">
            <v>0.10999999999999999</v>
          </cell>
          <cell r="J1109">
            <v>90.090090090090101</v>
          </cell>
          <cell r="K1109">
            <v>9.9099099099098993</v>
          </cell>
          <cell r="L1109">
            <v>9928738.7387387399</v>
          </cell>
          <cell r="M1109">
            <v>1092161.2612612601</v>
          </cell>
          <cell r="N1109" t="str">
            <v>按照集团审核的黄埠项目目标成本集团审核数据，道路工程的土建单价及水电安装按照230元/平方米，排水排污按照170元/平方米，安装按照100元/平方米</v>
          </cell>
          <cell r="O1109" t="str">
            <v>地上建筑面积</v>
          </cell>
          <cell r="P1109">
            <v>0</v>
          </cell>
          <cell r="Q1109">
            <v>1711527.0948097589</v>
          </cell>
          <cell r="R1109">
            <v>150039.38311455629</v>
          </cell>
          <cell r="S1109">
            <v>6435336.7425451512</v>
          </cell>
          <cell r="T1109">
            <v>1503487.02971961</v>
          </cell>
          <cell r="U1109">
            <v>0</v>
          </cell>
          <cell r="V1109">
            <v>0</v>
          </cell>
          <cell r="W1109">
            <v>0</v>
          </cell>
          <cell r="X1109">
            <v>0</v>
          </cell>
          <cell r="Y1109">
            <v>0</v>
          </cell>
          <cell r="Z1109">
            <v>0</v>
          </cell>
          <cell r="AA1109">
            <v>0</v>
          </cell>
          <cell r="AB1109">
            <v>128348.48854966322</v>
          </cell>
          <cell r="AC1109">
            <v>0</v>
          </cell>
          <cell r="AD1109">
            <v>0</v>
          </cell>
          <cell r="AE1109">
            <v>0</v>
          </cell>
          <cell r="AI1109">
            <v>0</v>
          </cell>
          <cell r="AJ1109">
            <v>0</v>
          </cell>
          <cell r="AK1109">
            <v>0</v>
          </cell>
          <cell r="AL1109">
            <v>0</v>
          </cell>
          <cell r="AM1109">
            <v>0</v>
          </cell>
          <cell r="AN1109">
            <v>0</v>
          </cell>
          <cell r="AO1109">
            <v>0</v>
          </cell>
          <cell r="AP1109">
            <v>0</v>
          </cell>
          <cell r="AQ1109">
            <v>0</v>
          </cell>
          <cell r="AR1109">
            <v>9928738.7387387399</v>
          </cell>
          <cell r="AS1109">
            <v>0</v>
          </cell>
        </row>
        <row r="1110">
          <cell r="A1110" t="str">
            <v>05.01.02</v>
          </cell>
          <cell r="B1110" t="str">
            <v>园建安装工程</v>
          </cell>
          <cell r="C1110" t="str">
            <v>园建占地面积</v>
          </cell>
          <cell r="D1110" t="str">
            <v>m2</v>
          </cell>
          <cell r="E1110">
            <v>38192.019999999997</v>
          </cell>
          <cell r="F1110">
            <v>30</v>
          </cell>
          <cell r="G1110">
            <v>1145760.5999999999</v>
          </cell>
          <cell r="H1110">
            <v>0</v>
          </cell>
          <cell r="I1110">
            <v>0.10999999999999999</v>
          </cell>
          <cell r="J1110">
            <v>27.027027027027032</v>
          </cell>
          <cell r="K1110">
            <v>2.9729729729729684</v>
          </cell>
          <cell r="L1110">
            <v>1032216.7567567568</v>
          </cell>
          <cell r="M1110">
            <v>113543.84324324306</v>
          </cell>
          <cell r="N1110" t="str">
            <v>参照黄埠项目集团审核单价按园建占地面积30元/m2</v>
          </cell>
          <cell r="O1110" t="str">
            <v>地上建筑面积</v>
          </cell>
          <cell r="P1110">
            <v>0</v>
          </cell>
          <cell r="Q1110">
            <v>177934.67966005372</v>
          </cell>
          <cell r="R1110">
            <v>15598.473230041454</v>
          </cell>
          <cell r="S1110">
            <v>669033.86178448016</v>
          </cell>
          <cell r="T1110">
            <v>156306.30903680806</v>
          </cell>
          <cell r="U1110">
            <v>0</v>
          </cell>
          <cell r="V1110">
            <v>0</v>
          </cell>
          <cell r="W1110">
            <v>0</v>
          </cell>
          <cell r="X1110">
            <v>0</v>
          </cell>
          <cell r="Y1110">
            <v>0</v>
          </cell>
          <cell r="Z1110">
            <v>0</v>
          </cell>
          <cell r="AA1110">
            <v>0</v>
          </cell>
          <cell r="AB1110">
            <v>13343.433045373358</v>
          </cell>
          <cell r="AC1110">
            <v>0</v>
          </cell>
          <cell r="AD1110">
            <v>0</v>
          </cell>
          <cell r="AE1110">
            <v>0</v>
          </cell>
          <cell r="AI1110">
            <v>0</v>
          </cell>
          <cell r="AJ1110">
            <v>0</v>
          </cell>
          <cell r="AK1110">
            <v>0</v>
          </cell>
          <cell r="AL1110">
            <v>0</v>
          </cell>
          <cell r="AM1110">
            <v>0</v>
          </cell>
          <cell r="AN1110">
            <v>0</v>
          </cell>
          <cell r="AO1110">
            <v>0</v>
          </cell>
          <cell r="AP1110">
            <v>0</v>
          </cell>
          <cell r="AQ1110">
            <v>0</v>
          </cell>
          <cell r="AR1110">
            <v>1032216.7567567568</v>
          </cell>
          <cell r="AS1110">
            <v>0</v>
          </cell>
        </row>
        <row r="1111">
          <cell r="A1111" t="str">
            <v>05.02</v>
          </cell>
          <cell r="B1111" t="str">
            <v>大市政管网工程</v>
          </cell>
          <cell r="C1111" t="str">
            <v>建筑面积</v>
          </cell>
          <cell r="D1111" t="str">
            <v>m2</v>
          </cell>
          <cell r="E1111">
            <v>241586.90000000002</v>
          </cell>
          <cell r="F1111">
            <v>150.91501344859412</v>
          </cell>
          <cell r="G1111">
            <v>36459090.262504168</v>
          </cell>
          <cell r="I1111">
            <v>-2.3381645059623857E-2</v>
          </cell>
          <cell r="J1111">
            <v>154.52813546373258</v>
          </cell>
          <cell r="K1111">
            <v>-3.6131220151384582</v>
          </cell>
          <cell r="L1111">
            <v>37331973.209463224</v>
          </cell>
          <cell r="M1111">
            <v>-872882.94695905596</v>
          </cell>
          <cell r="O1111" t="str">
            <v>地上建筑面积</v>
          </cell>
          <cell r="P1111">
            <v>0</v>
          </cell>
          <cell r="Q1111">
            <v>6435327.3192104306</v>
          </cell>
          <cell r="R1111">
            <v>564146.80436122941</v>
          </cell>
          <cell r="S1111">
            <v>24196811.416662205</v>
          </cell>
          <cell r="T1111">
            <v>5653098.4439417263</v>
          </cell>
          <cell r="U1111">
            <v>0</v>
          </cell>
          <cell r="V1111">
            <v>0</v>
          </cell>
          <cell r="W1111">
            <v>0</v>
          </cell>
          <cell r="X1111">
            <v>0</v>
          </cell>
          <cell r="Y1111">
            <v>0</v>
          </cell>
          <cell r="Z1111">
            <v>0</v>
          </cell>
          <cell r="AA1111">
            <v>0</v>
          </cell>
          <cell r="AB1111">
            <v>482589.22528762149</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37331973.209463216</v>
          </cell>
          <cell r="AS1111">
            <v>0</v>
          </cell>
        </row>
        <row r="1112">
          <cell r="A1112" t="str">
            <v>05.02.01</v>
          </cell>
          <cell r="B1112" t="str">
            <v>供水系统</v>
          </cell>
          <cell r="C1112" t="str">
            <v>建筑面积</v>
          </cell>
          <cell r="D1112" t="str">
            <v>m2</v>
          </cell>
          <cell r="E1112">
            <v>241586.90000000002</v>
          </cell>
          <cell r="F1112">
            <v>35</v>
          </cell>
          <cell r="G1112">
            <v>8455541.5</v>
          </cell>
          <cell r="I1112">
            <v>0.10999999999999975</v>
          </cell>
          <cell r="J1112">
            <v>31.531531531531535</v>
          </cell>
          <cell r="K1112">
            <v>3.4684684684684655</v>
          </cell>
          <cell r="L1112">
            <v>7617604.9549549567</v>
          </cell>
          <cell r="M1112">
            <v>837936.54504504334</v>
          </cell>
          <cell r="P1112">
            <v>0</v>
          </cell>
          <cell r="Q1112">
            <v>1313131.2668237942</v>
          </cell>
          <cell r="R1112">
            <v>115114.39451946122</v>
          </cell>
          <cell r="S1112">
            <v>4937369.6243560277</v>
          </cell>
          <cell r="T1112">
            <v>1153517.1333108817</v>
          </cell>
          <cell r="U1112">
            <v>0</v>
          </cell>
          <cell r="V1112">
            <v>0</v>
          </cell>
          <cell r="W1112">
            <v>0</v>
          </cell>
          <cell r="X1112">
            <v>0</v>
          </cell>
          <cell r="Y1112">
            <v>0</v>
          </cell>
          <cell r="Z1112">
            <v>0</v>
          </cell>
          <cell r="AA1112">
            <v>0</v>
          </cell>
          <cell r="AB1112">
            <v>98472.535944791467</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7617604.9549549567</v>
          </cell>
          <cell r="AS1112">
            <v>0</v>
          </cell>
        </row>
        <row r="1113">
          <cell r="B1113" t="str">
            <v>红线外供水工程</v>
          </cell>
          <cell r="C1113" t="str">
            <v>红线外占地面积</v>
          </cell>
          <cell r="D1113" t="str">
            <v>项</v>
          </cell>
          <cell r="E1113" t="str">
            <v>1</v>
          </cell>
          <cell r="F1113">
            <v>0</v>
          </cell>
          <cell r="G1113">
            <v>0</v>
          </cell>
          <cell r="H1113">
            <v>0</v>
          </cell>
          <cell r="I1113">
            <v>0.10999999999999999</v>
          </cell>
          <cell r="J1113">
            <v>0</v>
          </cell>
          <cell r="K1113">
            <v>0</v>
          </cell>
          <cell r="L1113">
            <v>0</v>
          </cell>
          <cell r="M1113">
            <v>0</v>
          </cell>
          <cell r="N1113" t="str">
            <v>红线外供水费已在临水工程费用包含，不另计</v>
          </cell>
          <cell r="O1113" t="str">
            <v>地上建筑面积</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I1113">
            <v>0</v>
          </cell>
          <cell r="AJ1113">
            <v>0</v>
          </cell>
          <cell r="AK1113">
            <v>0</v>
          </cell>
          <cell r="AL1113">
            <v>0</v>
          </cell>
          <cell r="AM1113">
            <v>0</v>
          </cell>
          <cell r="AN1113">
            <v>0</v>
          </cell>
          <cell r="AO1113">
            <v>0</v>
          </cell>
          <cell r="AP1113">
            <v>0</v>
          </cell>
          <cell r="AQ1113">
            <v>0</v>
          </cell>
          <cell r="AR1113">
            <v>0</v>
          </cell>
          <cell r="AS1113">
            <v>0</v>
          </cell>
        </row>
        <row r="1114">
          <cell r="B1114" t="str">
            <v>红线内供水工程</v>
          </cell>
          <cell r="C1114" t="str">
            <v>建筑面积</v>
          </cell>
          <cell r="D1114" t="str">
            <v>m2</v>
          </cell>
          <cell r="E1114">
            <v>241586.90000000002</v>
          </cell>
          <cell r="F1114">
            <v>35</v>
          </cell>
          <cell r="G1114">
            <v>8455541.5</v>
          </cell>
          <cell r="H1114">
            <v>0</v>
          </cell>
          <cell r="I1114">
            <v>0.10999999999999999</v>
          </cell>
          <cell r="J1114">
            <v>31.531531531531535</v>
          </cell>
          <cell r="K1114">
            <v>3.4684684684684655</v>
          </cell>
          <cell r="L1114">
            <v>7617604.9549549567</v>
          </cell>
          <cell r="M1114">
            <v>837936.54504504334</v>
          </cell>
          <cell r="N1114" t="str">
            <v>参照目前自来水公司对翡翠山的报价折算约按35元/m2计。</v>
          </cell>
          <cell r="O1114" t="str">
            <v>地上建筑面积</v>
          </cell>
          <cell r="P1114">
            <v>0</v>
          </cell>
          <cell r="Q1114">
            <v>1313131.2668237942</v>
          </cell>
          <cell r="R1114">
            <v>115114.39451946122</v>
          </cell>
          <cell r="S1114">
            <v>4937369.6243560277</v>
          </cell>
          <cell r="T1114">
            <v>1153517.1333108817</v>
          </cell>
          <cell r="U1114">
            <v>0</v>
          </cell>
          <cell r="V1114">
            <v>0</v>
          </cell>
          <cell r="W1114">
            <v>0</v>
          </cell>
          <cell r="X1114">
            <v>0</v>
          </cell>
          <cell r="Y1114">
            <v>0</v>
          </cell>
          <cell r="Z1114">
            <v>0</v>
          </cell>
          <cell r="AA1114">
            <v>0</v>
          </cell>
          <cell r="AB1114">
            <v>98472.535944791467</v>
          </cell>
          <cell r="AC1114">
            <v>0</v>
          </cell>
          <cell r="AD1114">
            <v>0</v>
          </cell>
          <cell r="AE1114">
            <v>0</v>
          </cell>
          <cell r="AI1114">
            <v>0</v>
          </cell>
          <cell r="AJ1114">
            <v>0</v>
          </cell>
          <cell r="AK1114">
            <v>0</v>
          </cell>
          <cell r="AL1114">
            <v>0</v>
          </cell>
          <cell r="AM1114">
            <v>0</v>
          </cell>
          <cell r="AN1114">
            <v>0</v>
          </cell>
          <cell r="AO1114">
            <v>0</v>
          </cell>
          <cell r="AP1114">
            <v>0</v>
          </cell>
          <cell r="AQ1114">
            <v>0</v>
          </cell>
          <cell r="AR1114">
            <v>7617604.9549549567</v>
          </cell>
          <cell r="AS1114">
            <v>0</v>
          </cell>
        </row>
        <row r="1115">
          <cell r="A1115" t="str">
            <v>05.02.02</v>
          </cell>
          <cell r="B1115" t="str">
            <v>供配电系统</v>
          </cell>
          <cell r="C1115" t="str">
            <v>建筑面积</v>
          </cell>
          <cell r="D1115" t="str">
            <v>m2</v>
          </cell>
          <cell r="E1115">
            <v>241586.90000000002</v>
          </cell>
          <cell r="F1115">
            <v>83.195366812125016</v>
          </cell>
          <cell r="G1115">
            <v>20098910.762504168</v>
          </cell>
          <cell r="I1115">
            <v>0.11</v>
          </cell>
          <cell r="J1115">
            <v>74.950780911824339</v>
          </cell>
          <cell r="K1115">
            <v>8.2445859003006774</v>
          </cell>
          <cell r="L1115">
            <v>18107126.813066818</v>
          </cell>
          <cell r="M1115">
            <v>1991783.94943735</v>
          </cell>
          <cell r="P1115">
            <v>0</v>
          </cell>
          <cell r="Q1115">
            <v>3121326.7833107421</v>
          </cell>
          <cell r="R1115">
            <v>273628.12221149285</v>
          </cell>
          <cell r="S1115">
            <v>11736179.342438389</v>
          </cell>
          <cell r="T1115">
            <v>2741922.3151391349</v>
          </cell>
          <cell r="U1115">
            <v>0</v>
          </cell>
          <cell r="V1115">
            <v>0</v>
          </cell>
          <cell r="W1115">
            <v>0</v>
          </cell>
          <cell r="X1115">
            <v>0</v>
          </cell>
          <cell r="Y1115">
            <v>0</v>
          </cell>
          <cell r="Z1115">
            <v>0</v>
          </cell>
          <cell r="AA1115">
            <v>0</v>
          </cell>
          <cell r="AB1115">
            <v>234070.24996705976</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18107126.813066818</v>
          </cell>
          <cell r="AS1115">
            <v>0</v>
          </cell>
        </row>
        <row r="1116">
          <cell r="B1116" t="str">
            <v>红线外供电工程</v>
          </cell>
          <cell r="C1116" t="str">
            <v>占地面积</v>
          </cell>
          <cell r="D1116" t="str">
            <v>m2</v>
          </cell>
          <cell r="E1116" t="str">
            <v>1</v>
          </cell>
          <cell r="F1116">
            <v>4395762.2625041651</v>
          </cell>
          <cell r="G1116">
            <v>4395762.2625041651</v>
          </cell>
          <cell r="H1116">
            <v>0</v>
          </cell>
          <cell r="I1116">
            <v>0.10999999999999999</v>
          </cell>
          <cell r="J1116">
            <v>3960146.182436185</v>
          </cell>
          <cell r="K1116">
            <v>435616.0800679801</v>
          </cell>
          <cell r="L1116">
            <v>3960146.182436185</v>
          </cell>
          <cell r="M1116">
            <v>435616.0800679801</v>
          </cell>
          <cell r="N1116" t="str">
            <v>计划从距地块北侧“清泉古寺”旁约5公里处在建新建110KV苏埔变电站接驳一回YJV22-8.7/15KV-3×400电缆埋地敷设至用地红线边内电源接入位置，距离约5000米；（电源接入点具体经报装供电局确定）费用约850万元；若红线外供电由供电局投资建设，可不计此费用。</v>
          </cell>
          <cell r="O1116" t="str">
            <v>地上建筑面积</v>
          </cell>
          <cell r="P1116">
            <v>0</v>
          </cell>
          <cell r="Q1116">
            <v>682654.43063798104</v>
          </cell>
          <cell r="R1116">
            <v>59844.246675350572</v>
          </cell>
          <cell r="S1116">
            <v>2566778.6114914799</v>
          </cell>
          <cell r="T1116">
            <v>599676.21041892574</v>
          </cell>
          <cell r="U1116">
            <v>0</v>
          </cell>
          <cell r="V1116">
            <v>0</v>
          </cell>
          <cell r="W1116">
            <v>0</v>
          </cell>
          <cell r="X1116">
            <v>0</v>
          </cell>
          <cell r="Y1116">
            <v>0</v>
          </cell>
          <cell r="Z1116">
            <v>0</v>
          </cell>
          <cell r="AA1116">
            <v>0</v>
          </cell>
          <cell r="AB1116">
            <v>51192.683212447024</v>
          </cell>
          <cell r="AC1116">
            <v>0</v>
          </cell>
          <cell r="AD1116">
            <v>0</v>
          </cell>
          <cell r="AE1116">
            <v>0</v>
          </cell>
          <cell r="AI1116">
            <v>0</v>
          </cell>
          <cell r="AJ1116">
            <v>0</v>
          </cell>
          <cell r="AK1116">
            <v>0</v>
          </cell>
          <cell r="AL1116">
            <v>0</v>
          </cell>
          <cell r="AM1116">
            <v>0</v>
          </cell>
          <cell r="AN1116">
            <v>0</v>
          </cell>
          <cell r="AO1116">
            <v>0</v>
          </cell>
          <cell r="AP1116">
            <v>0</v>
          </cell>
          <cell r="AQ1116">
            <v>0</v>
          </cell>
          <cell r="AR1116">
            <v>3960146.182436184</v>
          </cell>
          <cell r="AS1116">
            <v>0</v>
          </cell>
        </row>
        <row r="1117">
          <cell r="B1117" t="str">
            <v>红线内供电工程</v>
          </cell>
          <cell r="C1117" t="str">
            <v>建筑面积</v>
          </cell>
          <cell r="D1117" t="str">
            <v>m2</v>
          </cell>
          <cell r="E1117">
            <v>241586.90000000002</v>
          </cell>
          <cell r="F1117">
            <v>65</v>
          </cell>
          <cell r="G1117">
            <v>15703148.500000002</v>
          </cell>
          <cell r="H1117">
            <v>0</v>
          </cell>
          <cell r="I1117">
            <v>0.10999999999999999</v>
          </cell>
          <cell r="J1117">
            <v>58.558558558558566</v>
          </cell>
          <cell r="K1117">
            <v>6.4414414414414338</v>
          </cell>
          <cell r="L1117">
            <v>14146980.630630635</v>
          </cell>
          <cell r="M1117">
            <v>1556167.8693693671</v>
          </cell>
          <cell r="N1117" t="str">
            <v>参照集团指导价格及十里银滩二、三期目前造价约65元/平方进行预估，详细方案需等项目相关资料齐全报装后方可准确预估</v>
          </cell>
          <cell r="O1117" t="str">
            <v>地上建筑面积</v>
          </cell>
          <cell r="P1117">
            <v>0</v>
          </cell>
          <cell r="Q1117">
            <v>2438672.3526727608</v>
          </cell>
          <cell r="R1117">
            <v>213783.87553614227</v>
          </cell>
          <cell r="S1117">
            <v>9169400.7309469096</v>
          </cell>
          <cell r="T1117">
            <v>2142246.1047202093</v>
          </cell>
          <cell r="U1117">
            <v>0</v>
          </cell>
          <cell r="V1117">
            <v>0</v>
          </cell>
          <cell r="W1117">
            <v>0</v>
          </cell>
          <cell r="X1117">
            <v>0</v>
          </cell>
          <cell r="Y1117">
            <v>0</v>
          </cell>
          <cell r="Z1117">
            <v>0</v>
          </cell>
          <cell r="AA1117">
            <v>0</v>
          </cell>
          <cell r="AB1117">
            <v>182877.56675461272</v>
          </cell>
          <cell r="AC1117">
            <v>0</v>
          </cell>
          <cell r="AD1117">
            <v>0</v>
          </cell>
          <cell r="AE1117">
            <v>0</v>
          </cell>
          <cell r="AI1117">
            <v>0</v>
          </cell>
          <cell r="AJ1117">
            <v>0</v>
          </cell>
          <cell r="AK1117">
            <v>0</v>
          </cell>
          <cell r="AL1117">
            <v>0</v>
          </cell>
          <cell r="AM1117">
            <v>0</v>
          </cell>
          <cell r="AN1117">
            <v>0</v>
          </cell>
          <cell r="AO1117">
            <v>0</v>
          </cell>
          <cell r="AP1117">
            <v>0</v>
          </cell>
          <cell r="AQ1117">
            <v>0</v>
          </cell>
          <cell r="AR1117">
            <v>14146980.630630635</v>
          </cell>
          <cell r="AS1117">
            <v>0</v>
          </cell>
        </row>
        <row r="1118">
          <cell r="B1118" t="str">
            <v>线路迁移费</v>
          </cell>
          <cell r="C1118" t="str">
            <v>占地面积</v>
          </cell>
          <cell r="D1118" t="str">
            <v>m2</v>
          </cell>
          <cell r="E1118">
            <v>68000</v>
          </cell>
          <cell r="F1118">
            <v>0</v>
          </cell>
          <cell r="G1118">
            <v>0</v>
          </cell>
          <cell r="H1118">
            <v>0</v>
          </cell>
          <cell r="I1118">
            <v>0.10999999999999999</v>
          </cell>
          <cell r="J1118">
            <v>0</v>
          </cell>
          <cell r="K1118">
            <v>0</v>
          </cell>
          <cell r="L1118">
            <v>0</v>
          </cell>
          <cell r="M1118">
            <v>0</v>
          </cell>
          <cell r="O1118" t="str">
            <v>地上建筑面积</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I1118">
            <v>0</v>
          </cell>
          <cell r="AJ1118">
            <v>0</v>
          </cell>
          <cell r="AK1118">
            <v>0</v>
          </cell>
          <cell r="AL1118">
            <v>0</v>
          </cell>
          <cell r="AM1118">
            <v>0</v>
          </cell>
          <cell r="AN1118">
            <v>0</v>
          </cell>
          <cell r="AO1118">
            <v>0</v>
          </cell>
          <cell r="AP1118">
            <v>0</v>
          </cell>
          <cell r="AQ1118">
            <v>0</v>
          </cell>
          <cell r="AR1118">
            <v>0</v>
          </cell>
          <cell r="AS1118">
            <v>0</v>
          </cell>
        </row>
        <row r="1119">
          <cell r="A1119" t="str">
            <v>05.02.03</v>
          </cell>
          <cell r="B1119" t="str">
            <v>供暖系统</v>
          </cell>
          <cell r="C1119" t="str">
            <v>户数</v>
          </cell>
          <cell r="D1119" t="str">
            <v>户</v>
          </cell>
          <cell r="E1119">
            <v>1380</v>
          </cell>
          <cell r="G1119">
            <v>0</v>
          </cell>
          <cell r="H1119">
            <v>0</v>
          </cell>
          <cell r="I1119">
            <v>0.10999999999999999</v>
          </cell>
          <cell r="J1119">
            <v>0</v>
          </cell>
          <cell r="K1119">
            <v>0</v>
          </cell>
          <cell r="L1119">
            <v>0</v>
          </cell>
          <cell r="M1119">
            <v>0</v>
          </cell>
          <cell r="O1119" t="str">
            <v>地上建筑面积</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I1119">
            <v>0</v>
          </cell>
          <cell r="AJ1119">
            <v>0</v>
          </cell>
          <cell r="AK1119">
            <v>0</v>
          </cell>
          <cell r="AL1119">
            <v>0</v>
          </cell>
          <cell r="AM1119">
            <v>0</v>
          </cell>
          <cell r="AN1119">
            <v>0</v>
          </cell>
          <cell r="AO1119">
            <v>0</v>
          </cell>
          <cell r="AP1119">
            <v>0</v>
          </cell>
          <cell r="AQ1119">
            <v>0</v>
          </cell>
          <cell r="AR1119">
            <v>0</v>
          </cell>
          <cell r="AS1119">
            <v>0</v>
          </cell>
        </row>
        <row r="1120">
          <cell r="A1120" t="str">
            <v>05.02.04</v>
          </cell>
          <cell r="B1120" t="str">
            <v>燃气工程</v>
          </cell>
          <cell r="C1120" t="str">
            <v>户数</v>
          </cell>
          <cell r="D1120" t="str">
            <v>户</v>
          </cell>
          <cell r="E1120">
            <v>1380</v>
          </cell>
          <cell r="F1120">
            <v>5000</v>
          </cell>
          <cell r="G1120">
            <v>1920600</v>
          </cell>
          <cell r="H1120">
            <v>0</v>
          </cell>
          <cell r="I1120">
            <v>0.10999999999999999</v>
          </cell>
          <cell r="J1120">
            <v>4504.5045045045053</v>
          </cell>
          <cell r="K1120">
            <v>495.49549549549465</v>
          </cell>
          <cell r="L1120">
            <v>6216216.2162162177</v>
          </cell>
          <cell r="M1120">
            <v>-4295616.2162162177</v>
          </cell>
          <cell r="N1120" t="str">
            <v>按照之前十里银滩的燃气合同价格9200元/户，加上后期可能发生燃气管沟的合同，别墅按照9900元/户。商铺4500元/户</v>
          </cell>
          <cell r="O1120" t="str">
            <v>地上建筑面积</v>
          </cell>
          <cell r="P1120">
            <v>0</v>
          </cell>
          <cell r="Q1120">
            <v>1071558.3077777075</v>
          </cell>
          <cell r="R1120">
            <v>93937.132492848905</v>
          </cell>
          <cell r="S1120">
            <v>4029056.022971041</v>
          </cell>
          <cell r="T1120">
            <v>941307.9244948515</v>
          </cell>
          <cell r="U1120">
            <v>0</v>
          </cell>
          <cell r="V1120">
            <v>0</v>
          </cell>
          <cell r="W1120">
            <v>0</v>
          </cell>
          <cell r="X1120">
            <v>0</v>
          </cell>
          <cell r="Y1120">
            <v>0</v>
          </cell>
          <cell r="Z1120">
            <v>0</v>
          </cell>
          <cell r="AA1120">
            <v>0</v>
          </cell>
          <cell r="AB1120">
            <v>80356.828479768097</v>
          </cell>
          <cell r="AC1120">
            <v>0</v>
          </cell>
          <cell r="AD1120">
            <v>0</v>
          </cell>
          <cell r="AE1120">
            <v>0</v>
          </cell>
          <cell r="AI1120">
            <v>0</v>
          </cell>
          <cell r="AJ1120">
            <v>0</v>
          </cell>
          <cell r="AK1120">
            <v>0</v>
          </cell>
          <cell r="AL1120">
            <v>0</v>
          </cell>
          <cell r="AM1120">
            <v>0</v>
          </cell>
          <cell r="AN1120">
            <v>0</v>
          </cell>
          <cell r="AO1120">
            <v>0</v>
          </cell>
          <cell r="AP1120">
            <v>0</v>
          </cell>
          <cell r="AQ1120">
            <v>0</v>
          </cell>
          <cell r="AR1120">
            <v>6216216.2162162168</v>
          </cell>
          <cell r="AS1120">
            <v>0</v>
          </cell>
        </row>
        <row r="1121">
          <cell r="A1121" t="str">
            <v>05.02.05</v>
          </cell>
          <cell r="B1121" t="str">
            <v>电视工程</v>
          </cell>
          <cell r="C1121" t="str">
            <v>户数</v>
          </cell>
          <cell r="D1121" t="str">
            <v>户</v>
          </cell>
          <cell r="E1121">
            <v>1380</v>
          </cell>
          <cell r="F1121" t="str">
            <v>485</v>
          </cell>
          <cell r="G1121">
            <v>669300</v>
          </cell>
          <cell r="H1121">
            <v>0</v>
          </cell>
          <cell r="I1121">
            <v>0.10999999999999999</v>
          </cell>
          <cell r="J1121">
            <v>436.936936936937</v>
          </cell>
          <cell r="K1121">
            <v>48.063063063062998</v>
          </cell>
          <cell r="L1121">
            <v>602972.97297297302</v>
          </cell>
          <cell r="M1121">
            <v>66327.027027026983</v>
          </cell>
          <cell r="N1121" t="str">
            <v>按最近十里银滩洋房定价420元/户，综合考虑别墅设备投资略高 ，涨价等因素，折合报价约1000元/户。商铺420元/户</v>
          </cell>
          <cell r="O1121" t="str">
            <v>地上建筑面积</v>
          </cell>
          <cell r="P1121">
            <v>0</v>
          </cell>
          <cell r="Q1121">
            <v>103941.15585443762</v>
          </cell>
          <cell r="R1121">
            <v>9111.9018518063422</v>
          </cell>
          <cell r="S1121">
            <v>390818.43422819092</v>
          </cell>
          <cell r="T1121">
            <v>91306.86867600058</v>
          </cell>
          <cell r="U1121">
            <v>0</v>
          </cell>
          <cell r="V1121">
            <v>0</v>
          </cell>
          <cell r="W1121">
            <v>0</v>
          </cell>
          <cell r="X1121">
            <v>0</v>
          </cell>
          <cell r="Y1121">
            <v>0</v>
          </cell>
          <cell r="Z1121">
            <v>0</v>
          </cell>
          <cell r="AA1121">
            <v>0</v>
          </cell>
          <cell r="AB1121">
            <v>7794.6123625375039</v>
          </cell>
          <cell r="AC1121">
            <v>0</v>
          </cell>
          <cell r="AD1121">
            <v>0</v>
          </cell>
          <cell r="AE1121">
            <v>0</v>
          </cell>
          <cell r="AI1121">
            <v>0</v>
          </cell>
          <cell r="AJ1121">
            <v>0</v>
          </cell>
          <cell r="AK1121">
            <v>0</v>
          </cell>
          <cell r="AL1121">
            <v>0</v>
          </cell>
          <cell r="AM1121">
            <v>0</v>
          </cell>
          <cell r="AN1121">
            <v>0</v>
          </cell>
          <cell r="AO1121">
            <v>0</v>
          </cell>
          <cell r="AP1121">
            <v>0</v>
          </cell>
          <cell r="AQ1121">
            <v>0</v>
          </cell>
          <cell r="AR1121">
            <v>602972.97297297302</v>
          </cell>
          <cell r="AS1121">
            <v>0</v>
          </cell>
        </row>
        <row r="1122">
          <cell r="A1122" t="str">
            <v>05.02.06</v>
          </cell>
          <cell r="B1122" t="str">
            <v>通讯工程</v>
          </cell>
          <cell r="C1122" t="str">
            <v>户数</v>
          </cell>
          <cell r="D1122" t="str">
            <v>户</v>
          </cell>
          <cell r="E1122">
            <v>1380</v>
          </cell>
          <cell r="F1122">
            <v>0</v>
          </cell>
          <cell r="G1122">
            <v>0</v>
          </cell>
          <cell r="H1122">
            <v>0</v>
          </cell>
          <cell r="I1122">
            <v>0.10999999999999999</v>
          </cell>
          <cell r="J1122">
            <v>0</v>
          </cell>
          <cell r="K1122">
            <v>0</v>
          </cell>
          <cell r="L1122">
            <v>0</v>
          </cell>
          <cell r="M1122">
            <v>0</v>
          </cell>
          <cell r="N1122" t="str">
            <v>合并到网络费用中</v>
          </cell>
          <cell r="O1122" t="str">
            <v>地上建筑面积</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I1122">
            <v>0</v>
          </cell>
          <cell r="AJ1122">
            <v>0</v>
          </cell>
          <cell r="AK1122">
            <v>0</v>
          </cell>
          <cell r="AL1122">
            <v>0</v>
          </cell>
          <cell r="AM1122">
            <v>0</v>
          </cell>
          <cell r="AN1122">
            <v>0</v>
          </cell>
          <cell r="AO1122">
            <v>0</v>
          </cell>
          <cell r="AP1122">
            <v>0</v>
          </cell>
          <cell r="AQ1122">
            <v>0</v>
          </cell>
          <cell r="AR1122">
            <v>0</v>
          </cell>
          <cell r="AS1122">
            <v>0</v>
          </cell>
        </row>
        <row r="1123">
          <cell r="A1123" t="str">
            <v>05.02.07</v>
          </cell>
          <cell r="B1123" t="str">
            <v>网络系统</v>
          </cell>
          <cell r="C1123" t="str">
            <v>户数</v>
          </cell>
          <cell r="D1123" t="str">
            <v>户</v>
          </cell>
          <cell r="E1123">
            <v>1380</v>
          </cell>
          <cell r="F1123" t="str">
            <v>350</v>
          </cell>
          <cell r="G1123">
            <v>483000</v>
          </cell>
          <cell r="H1123">
            <v>0</v>
          </cell>
          <cell r="I1123">
            <v>0.10999999999999999</v>
          </cell>
          <cell r="J1123">
            <v>315.31531531531533</v>
          </cell>
          <cell r="K1123">
            <v>34.684684684684669</v>
          </cell>
          <cell r="L1123">
            <v>435135.13513513515</v>
          </cell>
          <cell r="M1123">
            <v>47864.864864864852</v>
          </cell>
          <cell r="N1123" t="str">
            <v>参照丽山项目网络价格650元/户，考虑按三网合一模式，机房设施，预估700元/户。商铺410元/户</v>
          </cell>
          <cell r="O1123" t="str">
            <v>地上建筑面积</v>
          </cell>
          <cell r="P1123">
            <v>0</v>
          </cell>
          <cell r="Q1123">
            <v>75009.081544439512</v>
          </cell>
          <cell r="R1123">
            <v>6575.5992744994219</v>
          </cell>
          <cell r="S1123">
            <v>282033.92160797282</v>
          </cell>
          <cell r="T1123">
            <v>65891.554714639598</v>
          </cell>
          <cell r="U1123">
            <v>0</v>
          </cell>
          <cell r="V1123">
            <v>0</v>
          </cell>
          <cell r="W1123">
            <v>0</v>
          </cell>
          <cell r="X1123">
            <v>0</v>
          </cell>
          <cell r="Y1123">
            <v>0</v>
          </cell>
          <cell r="Z1123">
            <v>0</v>
          </cell>
          <cell r="AA1123">
            <v>0</v>
          </cell>
          <cell r="AB1123">
            <v>5624.977993583766</v>
          </cell>
          <cell r="AC1123">
            <v>0</v>
          </cell>
          <cell r="AD1123">
            <v>0</v>
          </cell>
          <cell r="AE1123">
            <v>0</v>
          </cell>
          <cell r="AI1123">
            <v>0</v>
          </cell>
          <cell r="AJ1123">
            <v>0</v>
          </cell>
          <cell r="AK1123">
            <v>0</v>
          </cell>
          <cell r="AL1123">
            <v>0</v>
          </cell>
          <cell r="AM1123">
            <v>0</v>
          </cell>
          <cell r="AN1123">
            <v>0</v>
          </cell>
          <cell r="AO1123">
            <v>0</v>
          </cell>
          <cell r="AP1123">
            <v>0</v>
          </cell>
          <cell r="AQ1123">
            <v>0</v>
          </cell>
          <cell r="AR1123">
            <v>435135.13513513515</v>
          </cell>
          <cell r="AS1123">
            <v>0</v>
          </cell>
        </row>
        <row r="1124">
          <cell r="A1124" t="str">
            <v>05.02.08</v>
          </cell>
          <cell r="B1124" t="str">
            <v>环保工程</v>
          </cell>
          <cell r="C1124" t="str">
            <v>建筑面积</v>
          </cell>
          <cell r="D1124" t="str">
            <v>m2</v>
          </cell>
          <cell r="E1124">
            <v>241586.90000000002</v>
          </cell>
          <cell r="F1124">
            <v>20</v>
          </cell>
          <cell r="G1124">
            <v>4831738</v>
          </cell>
          <cell r="H1124">
            <v>0</v>
          </cell>
          <cell r="I1124">
            <v>0.10999999999999999</v>
          </cell>
          <cell r="J1124">
            <v>18.018018018018019</v>
          </cell>
          <cell r="K1124">
            <v>1.9819819819819813</v>
          </cell>
          <cell r="L1124">
            <v>4352917.1171171181</v>
          </cell>
          <cell r="M1124">
            <v>478820.88288288191</v>
          </cell>
          <cell r="N1124" t="str">
            <v>预留20元/㎡</v>
          </cell>
          <cell r="O1124" t="str">
            <v>地上建筑面积</v>
          </cell>
          <cell r="P1124">
            <v>0</v>
          </cell>
          <cell r="Q1124">
            <v>750360.72389931092</v>
          </cell>
          <cell r="R1124">
            <v>65779.6540111207</v>
          </cell>
          <cell r="S1124">
            <v>2821354.0710605872</v>
          </cell>
          <cell r="T1124">
            <v>659152.64760621812</v>
          </cell>
          <cell r="U1124">
            <v>0</v>
          </cell>
          <cell r="V1124">
            <v>0</v>
          </cell>
          <cell r="W1124">
            <v>0</v>
          </cell>
          <cell r="X1124">
            <v>0</v>
          </cell>
          <cell r="Y1124">
            <v>0</v>
          </cell>
          <cell r="Z1124">
            <v>0</v>
          </cell>
          <cell r="AA1124">
            <v>0</v>
          </cell>
          <cell r="AB1124">
            <v>56270.020539880832</v>
          </cell>
          <cell r="AC1124">
            <v>0</v>
          </cell>
          <cell r="AD1124">
            <v>0</v>
          </cell>
          <cell r="AE1124">
            <v>0</v>
          </cell>
          <cell r="AI1124">
            <v>0</v>
          </cell>
          <cell r="AJ1124">
            <v>0</v>
          </cell>
          <cell r="AK1124">
            <v>0</v>
          </cell>
          <cell r="AL1124">
            <v>0</v>
          </cell>
          <cell r="AM1124">
            <v>0</v>
          </cell>
          <cell r="AN1124">
            <v>0</v>
          </cell>
          <cell r="AO1124">
            <v>0</v>
          </cell>
          <cell r="AP1124">
            <v>0</v>
          </cell>
          <cell r="AQ1124">
            <v>0</v>
          </cell>
          <cell r="AR1124">
            <v>4352917.1171171172</v>
          </cell>
          <cell r="AS1124">
            <v>0</v>
          </cell>
        </row>
        <row r="1125">
          <cell r="A1125" t="str">
            <v>05.03</v>
          </cell>
          <cell r="B1125" t="str">
            <v>小区智能化工程</v>
          </cell>
          <cell r="C1125" t="str">
            <v>建筑面积</v>
          </cell>
          <cell r="D1125" t="str">
            <v>m2</v>
          </cell>
          <cell r="E1125">
            <v>241586.90000000002</v>
          </cell>
          <cell r="F1125">
            <v>30</v>
          </cell>
          <cell r="G1125">
            <v>7247607.0000000009</v>
          </cell>
          <cell r="H1125">
            <v>0</v>
          </cell>
          <cell r="I1125">
            <v>0.10999999999999999</v>
          </cell>
          <cell r="J1125">
            <v>27.027027027027032</v>
          </cell>
          <cell r="K1125">
            <v>2.9729729729729684</v>
          </cell>
          <cell r="L1125">
            <v>6529375.6756756771</v>
          </cell>
          <cell r="M1125">
            <v>718231.3243243238</v>
          </cell>
          <cell r="N1125" t="str">
            <v>按照30元/㎡预留</v>
          </cell>
          <cell r="O1125" t="str">
            <v>地上建筑面积</v>
          </cell>
          <cell r="P1125">
            <v>0</v>
          </cell>
          <cell r="Q1125">
            <v>1125541.0858489664</v>
          </cell>
          <cell r="R1125">
            <v>98669.481016681049</v>
          </cell>
          <cell r="S1125">
            <v>4232031.106590881</v>
          </cell>
          <cell r="T1125">
            <v>988728.97140932723</v>
          </cell>
          <cell r="U1125">
            <v>0</v>
          </cell>
          <cell r="V1125">
            <v>0</v>
          </cell>
          <cell r="W1125">
            <v>0</v>
          </cell>
          <cell r="X1125">
            <v>0</v>
          </cell>
          <cell r="Y1125">
            <v>0</v>
          </cell>
          <cell r="Z1125">
            <v>0</v>
          </cell>
          <cell r="AA1125">
            <v>0</v>
          </cell>
          <cell r="AB1125">
            <v>84405.030809821255</v>
          </cell>
          <cell r="AC1125">
            <v>0</v>
          </cell>
          <cell r="AD1125">
            <v>0</v>
          </cell>
          <cell r="AE1125">
            <v>0</v>
          </cell>
          <cell r="AI1125">
            <v>0</v>
          </cell>
          <cell r="AJ1125">
            <v>0</v>
          </cell>
          <cell r="AK1125">
            <v>0</v>
          </cell>
          <cell r="AL1125">
            <v>0</v>
          </cell>
          <cell r="AM1125">
            <v>0</v>
          </cell>
          <cell r="AN1125">
            <v>0</v>
          </cell>
          <cell r="AO1125">
            <v>0</v>
          </cell>
          <cell r="AP1125">
            <v>0</v>
          </cell>
          <cell r="AQ1125">
            <v>0</v>
          </cell>
          <cell r="AR1125">
            <v>6529375.6756756771</v>
          </cell>
          <cell r="AS1125">
            <v>0</v>
          </cell>
        </row>
        <row r="1126">
          <cell r="A1126" t="str">
            <v>06</v>
          </cell>
          <cell r="B1126" t="str">
            <v>公共配套设施</v>
          </cell>
          <cell r="C1126" t="str">
            <v>可售面积</v>
          </cell>
          <cell r="D1126" t="str">
            <v>m2</v>
          </cell>
          <cell r="E1126">
            <v>154715.32</v>
          </cell>
          <cell r="F1126">
            <v>891.81859947676799</v>
          </cell>
          <cell r="G1126">
            <v>137978000</v>
          </cell>
          <cell r="I1126">
            <v>0.10999999999999989</v>
          </cell>
          <cell r="J1126">
            <v>803.44017970880009</v>
          </cell>
          <cell r="K1126">
            <v>88.378419767967898</v>
          </cell>
          <cell r="L1126">
            <v>124304504.50450452</v>
          </cell>
          <cell r="M1126">
            <v>13673495.495495483</v>
          </cell>
          <cell r="P1126">
            <v>0</v>
          </cell>
          <cell r="Q1126">
            <v>21552681.136676829</v>
          </cell>
          <cell r="R1126">
            <v>2329197.9391860128</v>
          </cell>
          <cell r="S1126">
            <v>79993693.23461166</v>
          </cell>
          <cell r="T1126">
            <v>18841057.971435472</v>
          </cell>
          <cell r="U1126">
            <v>0</v>
          </cell>
          <cell r="V1126">
            <v>0</v>
          </cell>
          <cell r="W1126">
            <v>0</v>
          </cell>
          <cell r="X1126">
            <v>0</v>
          </cell>
          <cell r="Y1126">
            <v>0</v>
          </cell>
          <cell r="Z1126">
            <v>0</v>
          </cell>
          <cell r="AA1126">
            <v>0</v>
          </cell>
          <cell r="AB1126">
            <v>1587874.2225945594</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124304504.50450453</v>
          </cell>
          <cell r="AS1126">
            <v>0</v>
          </cell>
        </row>
        <row r="1127">
          <cell r="A1127" t="str">
            <v>06.01</v>
          </cell>
          <cell r="B1127" t="str">
            <v>公建配套</v>
          </cell>
          <cell r="C1127" t="str">
            <v>可售面积</v>
          </cell>
          <cell r="D1127" t="str">
            <v>m2</v>
          </cell>
          <cell r="E1127">
            <v>154715.32</v>
          </cell>
          <cell r="F1127">
            <v>0</v>
          </cell>
          <cell r="G1127">
            <v>0</v>
          </cell>
          <cell r="I1127">
            <v>0</v>
          </cell>
          <cell r="J1127">
            <v>0</v>
          </cell>
          <cell r="K1127">
            <v>0</v>
          </cell>
          <cell r="L1127">
            <v>0</v>
          </cell>
          <cell r="M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row>
        <row r="1128">
          <cell r="A1128" t="str">
            <v>06.01.01</v>
          </cell>
          <cell r="B1128" t="str">
            <v>交通中心</v>
          </cell>
          <cell r="C1128" t="str">
            <v>占地面积</v>
          </cell>
          <cell r="D1128" t="str">
            <v>m2</v>
          </cell>
          <cell r="G1128">
            <v>0</v>
          </cell>
          <cell r="I1128">
            <v>0.10999999999999999</v>
          </cell>
          <cell r="J1128">
            <v>0</v>
          </cell>
          <cell r="K1128">
            <v>0</v>
          </cell>
          <cell r="L1128">
            <v>0</v>
          </cell>
          <cell r="M1128">
            <v>0</v>
          </cell>
          <cell r="O1128" t="str">
            <v>地上可售面积</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R1128">
            <v>0</v>
          </cell>
          <cell r="AS1128">
            <v>0</v>
          </cell>
        </row>
        <row r="1129">
          <cell r="A1129" t="str">
            <v>06.01.02</v>
          </cell>
          <cell r="B1129" t="str">
            <v>大型桥梁</v>
          </cell>
          <cell r="C1129" t="str">
            <v>建筑面积</v>
          </cell>
          <cell r="D1129" t="str">
            <v>m2</v>
          </cell>
          <cell r="G1129">
            <v>0</v>
          </cell>
          <cell r="I1129">
            <v>0.10999999999999999</v>
          </cell>
          <cell r="J1129">
            <v>0</v>
          </cell>
          <cell r="K1129">
            <v>0</v>
          </cell>
          <cell r="L1129">
            <v>0</v>
          </cell>
          <cell r="M1129">
            <v>0</v>
          </cell>
          <cell r="O1129" t="str">
            <v>地上可售面积</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R1129">
            <v>0</v>
          </cell>
          <cell r="AS1129">
            <v>0</v>
          </cell>
        </row>
        <row r="1130">
          <cell r="A1130" t="str">
            <v>06.01.03</v>
          </cell>
          <cell r="B1130" t="str">
            <v>独立会所（综合楼）</v>
          </cell>
          <cell r="C1130" t="str">
            <v>建筑面积</v>
          </cell>
          <cell r="D1130" t="str">
            <v>m2</v>
          </cell>
          <cell r="G1130">
            <v>0</v>
          </cell>
          <cell r="I1130">
            <v>0.10999999999999999</v>
          </cell>
          <cell r="J1130">
            <v>0</v>
          </cell>
          <cell r="K1130">
            <v>0</v>
          </cell>
          <cell r="L1130">
            <v>0</v>
          </cell>
          <cell r="M1130">
            <v>0</v>
          </cell>
          <cell r="O1130" t="str">
            <v>地上可售面积</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R1130">
            <v>0</v>
          </cell>
          <cell r="AS1130">
            <v>0</v>
          </cell>
        </row>
        <row r="1131">
          <cell r="A1131" t="str">
            <v>06.01.04</v>
          </cell>
          <cell r="B1131" t="str">
            <v>活动中心</v>
          </cell>
          <cell r="C1131" t="str">
            <v>建筑面积</v>
          </cell>
          <cell r="D1131" t="str">
            <v>m2</v>
          </cell>
          <cell r="G1131">
            <v>0</v>
          </cell>
          <cell r="I1131">
            <v>0.10999999999999999</v>
          </cell>
          <cell r="J1131">
            <v>0</v>
          </cell>
          <cell r="K1131">
            <v>0</v>
          </cell>
          <cell r="L1131">
            <v>0</v>
          </cell>
          <cell r="M1131">
            <v>0</v>
          </cell>
          <cell r="O1131" t="str">
            <v>地上可售面积</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R1131">
            <v>0</v>
          </cell>
          <cell r="AS1131">
            <v>0</v>
          </cell>
        </row>
        <row r="1132">
          <cell r="A1132" t="str">
            <v>06.01.05</v>
          </cell>
          <cell r="B1132" t="str">
            <v>酒店</v>
          </cell>
          <cell r="C1132" t="str">
            <v>建筑面积</v>
          </cell>
          <cell r="D1132" t="str">
            <v>m2</v>
          </cell>
          <cell r="G1132">
            <v>0</v>
          </cell>
          <cell r="I1132">
            <v>0.10999999999999999</v>
          </cell>
          <cell r="J1132">
            <v>0</v>
          </cell>
          <cell r="K1132">
            <v>0</v>
          </cell>
          <cell r="L1132">
            <v>0</v>
          </cell>
          <cell r="M1132">
            <v>0</v>
          </cell>
          <cell r="O1132" t="str">
            <v>地上可售面积</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R1132">
            <v>0</v>
          </cell>
          <cell r="AS1132">
            <v>0</v>
          </cell>
        </row>
        <row r="1133">
          <cell r="A1133" t="str">
            <v>06.01.06</v>
          </cell>
          <cell r="B1133" t="str">
            <v>医院</v>
          </cell>
          <cell r="C1133" t="str">
            <v>建筑面积</v>
          </cell>
          <cell r="D1133" t="str">
            <v>m2</v>
          </cell>
          <cell r="G1133">
            <v>0</v>
          </cell>
          <cell r="I1133">
            <v>0.10999999999999999</v>
          </cell>
          <cell r="J1133">
            <v>0</v>
          </cell>
          <cell r="K1133">
            <v>0</v>
          </cell>
          <cell r="L1133">
            <v>0</v>
          </cell>
          <cell r="M1133">
            <v>0</v>
          </cell>
          <cell r="O1133" t="str">
            <v>地上可售面积</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R1133">
            <v>0</v>
          </cell>
          <cell r="AS1133">
            <v>0</v>
          </cell>
        </row>
        <row r="1134">
          <cell r="A1134" t="str">
            <v>06.01.07</v>
          </cell>
          <cell r="B1134" t="str">
            <v>商贸市场</v>
          </cell>
          <cell r="C1134" t="str">
            <v>建筑面积</v>
          </cell>
          <cell r="D1134" t="str">
            <v>m2</v>
          </cell>
          <cell r="G1134">
            <v>0</v>
          </cell>
          <cell r="I1134">
            <v>0.10999999999999999</v>
          </cell>
          <cell r="J1134">
            <v>0</v>
          </cell>
          <cell r="K1134">
            <v>0</v>
          </cell>
          <cell r="L1134">
            <v>0</v>
          </cell>
          <cell r="M1134">
            <v>0</v>
          </cell>
          <cell r="O1134" t="str">
            <v>地上可售面积</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R1134">
            <v>0</v>
          </cell>
          <cell r="AS1134">
            <v>0</v>
          </cell>
        </row>
        <row r="1135">
          <cell r="A1135" t="str">
            <v>06.02</v>
          </cell>
          <cell r="B1135" t="str">
            <v>幼儿园、学校</v>
          </cell>
          <cell r="C1135" t="str">
            <v>可售面积</v>
          </cell>
          <cell r="D1135" t="str">
            <v>m2</v>
          </cell>
          <cell r="E1135">
            <v>154715.32</v>
          </cell>
          <cell r="F1135">
            <v>0</v>
          </cell>
          <cell r="G1135">
            <v>0</v>
          </cell>
          <cell r="I1135">
            <v>0</v>
          </cell>
          <cell r="J1135">
            <v>0</v>
          </cell>
          <cell r="K1135">
            <v>0</v>
          </cell>
          <cell r="L1135">
            <v>0</v>
          </cell>
          <cell r="M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row>
        <row r="1136">
          <cell r="A1136" t="str">
            <v>06.02.01</v>
          </cell>
          <cell r="B1136" t="str">
            <v>幼儿园</v>
          </cell>
          <cell r="C1136" t="str">
            <v>建筑面积</v>
          </cell>
          <cell r="D1136" t="str">
            <v>m2</v>
          </cell>
          <cell r="G1136">
            <v>0</v>
          </cell>
          <cell r="I1136">
            <v>0.10999999999999999</v>
          </cell>
          <cell r="J1136">
            <v>0</v>
          </cell>
          <cell r="K1136">
            <v>0</v>
          </cell>
          <cell r="L1136">
            <v>0</v>
          </cell>
          <cell r="M1136">
            <v>0</v>
          </cell>
          <cell r="O1136" t="str">
            <v>地上可售面积</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R1136">
            <v>0</v>
          </cell>
          <cell r="AS1136">
            <v>0</v>
          </cell>
        </row>
        <row r="1137">
          <cell r="A1137" t="str">
            <v>06.02.02</v>
          </cell>
          <cell r="B1137" t="str">
            <v>学校</v>
          </cell>
          <cell r="C1137" t="str">
            <v>建筑面积</v>
          </cell>
          <cell r="D1137" t="str">
            <v>m2</v>
          </cell>
          <cell r="G1137">
            <v>0</v>
          </cell>
          <cell r="I1137">
            <v>0.10999999999999999</v>
          </cell>
          <cell r="J1137">
            <v>0</v>
          </cell>
          <cell r="K1137">
            <v>0</v>
          </cell>
          <cell r="L1137">
            <v>0</v>
          </cell>
          <cell r="M1137">
            <v>0</v>
          </cell>
          <cell r="O1137" t="str">
            <v>地上可售面积</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R1137">
            <v>0</v>
          </cell>
          <cell r="AS1137">
            <v>0</v>
          </cell>
        </row>
        <row r="1138">
          <cell r="A1138" t="str">
            <v>06.03</v>
          </cell>
          <cell r="B1138" t="str">
            <v>物业配套</v>
          </cell>
          <cell r="C1138" t="str">
            <v>可售面积</v>
          </cell>
          <cell r="D1138" t="str">
            <v>m2</v>
          </cell>
          <cell r="E1138">
            <v>154715.32</v>
          </cell>
          <cell r="F1138">
            <v>34.553785623815401</v>
          </cell>
          <cell r="G1138">
            <v>5346000</v>
          </cell>
          <cell r="I1138">
            <v>0.10999999999999986</v>
          </cell>
          <cell r="J1138">
            <v>31.129536598031898</v>
          </cell>
          <cell r="K1138">
            <v>3.424249025783503</v>
          </cell>
          <cell r="L1138">
            <v>4816216.2162162168</v>
          </cell>
          <cell r="M1138">
            <v>529783.7837837832</v>
          </cell>
          <cell r="P1138">
            <v>0</v>
          </cell>
          <cell r="Q1138">
            <v>830224.7410695107</v>
          </cell>
          <cell r="R1138">
            <v>72780.856566198578</v>
          </cell>
          <cell r="S1138">
            <v>3121642.5360584324</v>
          </cell>
          <cell r="T1138">
            <v>729309.00932601094</v>
          </cell>
          <cell r="U1138">
            <v>0</v>
          </cell>
          <cell r="V1138">
            <v>0</v>
          </cell>
          <cell r="W1138">
            <v>0</v>
          </cell>
          <cell r="X1138">
            <v>0</v>
          </cell>
          <cell r="Y1138">
            <v>0</v>
          </cell>
          <cell r="Z1138">
            <v>0</v>
          </cell>
          <cell r="AA1138">
            <v>0</v>
          </cell>
          <cell r="AB1138">
            <v>62259.073196063793</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4816216.2162162168</v>
          </cell>
          <cell r="AS1138">
            <v>0</v>
          </cell>
        </row>
        <row r="1139">
          <cell r="A1139" t="str">
            <v>06.03.01</v>
          </cell>
          <cell r="B1139" t="str">
            <v>物业用房及装修</v>
          </cell>
          <cell r="C1139" t="str">
            <v>建筑面积</v>
          </cell>
          <cell r="D1139" t="str">
            <v>m2</v>
          </cell>
          <cell r="E1139">
            <v>0</v>
          </cell>
          <cell r="F1139">
            <v>2200</v>
          </cell>
          <cell r="G1139">
            <v>0</v>
          </cell>
          <cell r="I1139">
            <v>0.10999999999999999</v>
          </cell>
          <cell r="J1139">
            <v>1981.9819819819822</v>
          </cell>
          <cell r="K1139">
            <v>218.01801801801776</v>
          </cell>
          <cell r="L1139">
            <v>0</v>
          </cell>
          <cell r="M1139">
            <v>0</v>
          </cell>
          <cell r="N1139" t="str">
            <v>按规划图物业用房面积，参照惠阳十一期集团审核价2200元/m2标准（含建安费用）</v>
          </cell>
          <cell r="O1139" t="str">
            <v>地上可售面积</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R1139">
            <v>0</v>
          </cell>
          <cell r="AS1139">
            <v>0</v>
          </cell>
        </row>
        <row r="1140">
          <cell r="A1140" t="str">
            <v>06.03.02</v>
          </cell>
          <cell r="B1140" t="str">
            <v>居委会派出所</v>
          </cell>
          <cell r="C1140" t="str">
            <v>建筑面积</v>
          </cell>
          <cell r="D1140" t="str">
            <v>m2</v>
          </cell>
          <cell r="G1140">
            <v>0</v>
          </cell>
          <cell r="I1140">
            <v>0.10999999999999999</v>
          </cell>
          <cell r="J1140">
            <v>0</v>
          </cell>
          <cell r="K1140">
            <v>0</v>
          </cell>
          <cell r="L1140">
            <v>0</v>
          </cell>
          <cell r="M1140">
            <v>0</v>
          </cell>
          <cell r="O1140" t="str">
            <v>地上可售面积</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R1140">
            <v>0</v>
          </cell>
          <cell r="AS1140">
            <v>0</v>
          </cell>
        </row>
        <row r="1141">
          <cell r="A1141" t="str">
            <v>06.03.03</v>
          </cell>
          <cell r="B1141" t="str">
            <v>员工宿舍</v>
          </cell>
          <cell r="C1141" t="str">
            <v>建筑面积</v>
          </cell>
          <cell r="D1141" t="str">
            <v>m2</v>
          </cell>
          <cell r="G1141">
            <v>0</v>
          </cell>
          <cell r="I1141">
            <v>0.10999999999999999</v>
          </cell>
          <cell r="J1141">
            <v>0</v>
          </cell>
          <cell r="K1141">
            <v>0</v>
          </cell>
          <cell r="L1141">
            <v>0</v>
          </cell>
          <cell r="M1141">
            <v>0</v>
          </cell>
          <cell r="O1141" t="str">
            <v>地上可售面积</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R1141">
            <v>0</v>
          </cell>
          <cell r="AS1141">
            <v>0</v>
          </cell>
        </row>
        <row r="1142">
          <cell r="A1142" t="str">
            <v>06.03.04</v>
          </cell>
          <cell r="B1142" t="str">
            <v>垃圾回收站等其他物业配套</v>
          </cell>
          <cell r="C1142" t="str">
            <v>建筑面积</v>
          </cell>
          <cell r="D1142" t="str">
            <v>m2</v>
          </cell>
          <cell r="E1142">
            <v>2430</v>
          </cell>
          <cell r="F1142">
            <v>2200</v>
          </cell>
          <cell r="G1142">
            <v>5346000</v>
          </cell>
          <cell r="I1142">
            <v>0.10999999999999999</v>
          </cell>
          <cell r="J1142">
            <v>1981.9819819819822</v>
          </cell>
          <cell r="K1142">
            <v>218.01801801801776</v>
          </cell>
          <cell r="L1142">
            <v>4816216.2162162168</v>
          </cell>
          <cell r="M1142">
            <v>529783.7837837832</v>
          </cell>
          <cell r="N1142" t="str">
            <v>按规划图物业用房面积，参照惠阳十一期集团审核价2200元/m2标准（含建安费用）</v>
          </cell>
          <cell r="O1142" t="str">
            <v>地上可售面积</v>
          </cell>
          <cell r="P1142">
            <v>0</v>
          </cell>
          <cell r="Q1142">
            <v>830224.7410695107</v>
          </cell>
          <cell r="R1142">
            <v>72780.856566198578</v>
          </cell>
          <cell r="S1142">
            <v>3121642.5360584324</v>
          </cell>
          <cell r="T1142">
            <v>729309.00932601094</v>
          </cell>
          <cell r="U1142">
            <v>0</v>
          </cell>
          <cell r="V1142">
            <v>0</v>
          </cell>
          <cell r="W1142">
            <v>0</v>
          </cell>
          <cell r="X1142">
            <v>0</v>
          </cell>
          <cell r="Y1142">
            <v>0</v>
          </cell>
          <cell r="Z1142">
            <v>0</v>
          </cell>
          <cell r="AA1142">
            <v>0</v>
          </cell>
          <cell r="AB1142">
            <v>62259.073196063793</v>
          </cell>
          <cell r="AC1142">
            <v>0</v>
          </cell>
          <cell r="AD1142">
            <v>0</v>
          </cell>
          <cell r="AE1142">
            <v>0</v>
          </cell>
          <cell r="AR1142">
            <v>4816216.2162162168</v>
          </cell>
          <cell r="AS1142">
            <v>0</v>
          </cell>
        </row>
        <row r="1143">
          <cell r="A1143" t="str">
            <v>06.04</v>
          </cell>
          <cell r="B1143" t="str">
            <v>样板房与售楼部装修</v>
          </cell>
          <cell r="C1143" t="str">
            <v>可售面积</v>
          </cell>
          <cell r="D1143" t="str">
            <v>m2</v>
          </cell>
          <cell r="E1143">
            <v>154715.32</v>
          </cell>
          <cell r="F1143">
            <v>857.26481385295256</v>
          </cell>
          <cell r="G1143">
            <v>132632000</v>
          </cell>
          <cell r="I1143">
            <v>0.10999999999999993</v>
          </cell>
          <cell r="J1143">
            <v>772.31064311076818</v>
          </cell>
          <cell r="K1143">
            <v>84.954170742184374</v>
          </cell>
          <cell r="L1143">
            <v>119488288.2882883</v>
          </cell>
          <cell r="M1143">
            <v>13143711.711711705</v>
          </cell>
          <cell r="P1143">
            <v>0</v>
          </cell>
          <cell r="Q1143">
            <v>20722456.395607319</v>
          </cell>
          <cell r="R1143">
            <v>2256417.0826198142</v>
          </cell>
          <cell r="S1143">
            <v>76872050.698553219</v>
          </cell>
          <cell r="T1143">
            <v>18111748.962109461</v>
          </cell>
          <cell r="U1143">
            <v>0</v>
          </cell>
          <cell r="V1143">
            <v>0</v>
          </cell>
          <cell r="W1143">
            <v>0</v>
          </cell>
          <cell r="X1143">
            <v>0</v>
          </cell>
          <cell r="Y1143">
            <v>0</v>
          </cell>
          <cell r="Z1143">
            <v>0</v>
          </cell>
          <cell r="AA1143">
            <v>0</v>
          </cell>
          <cell r="AB1143">
            <v>1525615.1493984957</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119488288.2882883</v>
          </cell>
          <cell r="AS1143">
            <v>0</v>
          </cell>
        </row>
        <row r="1144">
          <cell r="A1144" t="str">
            <v>06.04.01</v>
          </cell>
          <cell r="B1144" t="str">
            <v>软装</v>
          </cell>
          <cell r="C1144" t="str">
            <v>可售面积</v>
          </cell>
          <cell r="D1144" t="str">
            <v>m2</v>
          </cell>
          <cell r="E1144">
            <v>154715.32</v>
          </cell>
          <cell r="F1144">
            <v>815.25863114266895</v>
          </cell>
          <cell r="G1144">
            <v>126133000</v>
          </cell>
          <cell r="H1144">
            <v>0</v>
          </cell>
          <cell r="I1144">
            <v>0.10999999999999975</v>
          </cell>
          <cell r="J1144">
            <v>734.46723526366588</v>
          </cell>
          <cell r="K1144">
            <v>80.791395879003062</v>
          </cell>
          <cell r="L1144">
            <v>113633333.33333336</v>
          </cell>
          <cell r="M1144">
            <v>12499666.666666642</v>
          </cell>
          <cell r="P1144">
            <v>0</v>
          </cell>
          <cell r="Q1144">
            <v>19682558.454649031</v>
          </cell>
          <cell r="R1144">
            <v>2039597.4844474194</v>
          </cell>
          <cell r="S1144">
            <v>73242397.595930532</v>
          </cell>
          <cell r="T1144">
            <v>17213040.151933759</v>
          </cell>
          <cell r="U1144">
            <v>0</v>
          </cell>
          <cell r="V1144">
            <v>0</v>
          </cell>
          <cell r="W1144">
            <v>0</v>
          </cell>
          <cell r="X1144">
            <v>0</v>
          </cell>
          <cell r="Y1144">
            <v>0</v>
          </cell>
          <cell r="Z1144">
            <v>0</v>
          </cell>
          <cell r="AA1144">
            <v>0</v>
          </cell>
          <cell r="AB1144">
            <v>1455739.6463726105</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113633333.33333336</v>
          </cell>
          <cell r="AS1144">
            <v>0</v>
          </cell>
        </row>
        <row r="1145">
          <cell r="B1145" t="str">
            <v>样板房</v>
          </cell>
          <cell r="C1145" t="str">
            <v>样板房面积</v>
          </cell>
          <cell r="D1145" t="str">
            <v>m2</v>
          </cell>
          <cell r="E1145">
            <v>499</v>
          </cell>
          <cell r="F1145">
            <v>2270.5410821643286</v>
          </cell>
          <cell r="G1145">
            <v>1133000</v>
          </cell>
          <cell r="H1145">
            <v>0</v>
          </cell>
          <cell r="I1145">
            <v>0.10999999999999989</v>
          </cell>
          <cell r="J1145">
            <v>2045.5325064543504</v>
          </cell>
          <cell r="K1145">
            <v>225.00857570997823</v>
          </cell>
          <cell r="L1145">
            <v>1020720.7207207208</v>
          </cell>
          <cell r="M1145">
            <v>112279.27927927917</v>
          </cell>
          <cell r="P1145">
            <v>0</v>
          </cell>
          <cell r="Q1145">
            <v>270270.2702702703</v>
          </cell>
          <cell r="R1145">
            <v>337837.83783783793</v>
          </cell>
          <cell r="S1145">
            <v>252252.25225225228</v>
          </cell>
          <cell r="T1145">
            <v>160360.36036036038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1020720.7207207208</v>
          </cell>
          <cell r="AS1145">
            <v>0</v>
          </cell>
        </row>
        <row r="1146">
          <cell r="B1146">
            <v>95</v>
          </cell>
          <cell r="C1146" t="str">
            <v>装修建筑面积</v>
          </cell>
          <cell r="D1146" t="str">
            <v>m2</v>
          </cell>
          <cell r="F1146">
            <v>2500</v>
          </cell>
          <cell r="G1146">
            <v>0</v>
          </cell>
          <cell r="H1146">
            <v>0</v>
          </cell>
          <cell r="I1146">
            <v>0.10999999999999999</v>
          </cell>
          <cell r="J1146">
            <v>2252.2522522522527</v>
          </cell>
          <cell r="K1146">
            <v>247.74774774774733</v>
          </cell>
          <cell r="L1146">
            <v>0</v>
          </cell>
          <cell r="M1146">
            <v>0</v>
          </cell>
          <cell r="O1146" t="str">
            <v>*</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row>
        <row r="1147">
          <cell r="B1147">
            <v>125</v>
          </cell>
          <cell r="C1147" t="str">
            <v>装修建筑面积</v>
          </cell>
          <cell r="D1147" t="str">
            <v>m2</v>
          </cell>
          <cell r="E1147">
            <v>120</v>
          </cell>
          <cell r="F1147">
            <v>2500</v>
          </cell>
          <cell r="G1147">
            <v>300000</v>
          </cell>
          <cell r="H1147">
            <v>0</v>
          </cell>
          <cell r="I1147">
            <v>0.10999999999999999</v>
          </cell>
          <cell r="J1147">
            <v>2252.2522522522527</v>
          </cell>
          <cell r="K1147">
            <v>247.74774774774733</v>
          </cell>
          <cell r="L1147">
            <v>270270.2702702703</v>
          </cell>
          <cell r="M1147">
            <v>29729.729729729705</v>
          </cell>
          <cell r="O1147" t="str">
            <v>*</v>
          </cell>
          <cell r="P1147">
            <v>0</v>
          </cell>
          <cell r="Q1147">
            <v>270270.2702702703</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270270.2702702703</v>
          </cell>
          <cell r="AS1147">
            <v>0</v>
          </cell>
        </row>
        <row r="1148">
          <cell r="B1148">
            <v>150</v>
          </cell>
          <cell r="C1148" t="str">
            <v>装修建筑面积</v>
          </cell>
          <cell r="D1148" t="str">
            <v>m2</v>
          </cell>
          <cell r="E1148">
            <v>150</v>
          </cell>
          <cell r="F1148">
            <v>2500</v>
          </cell>
          <cell r="G1148">
            <v>375000</v>
          </cell>
          <cell r="H1148">
            <v>0</v>
          </cell>
          <cell r="I1148">
            <v>0.10999999999999999</v>
          </cell>
          <cell r="J1148">
            <v>2252.2522522522527</v>
          </cell>
          <cell r="K1148">
            <v>247.74774774774733</v>
          </cell>
          <cell r="L1148">
            <v>337837.83783783793</v>
          </cell>
          <cell r="M1148">
            <v>37162.162162162072</v>
          </cell>
          <cell r="O1148" t="str">
            <v>*</v>
          </cell>
          <cell r="P1148">
            <v>0</v>
          </cell>
          <cell r="Q1148">
            <v>0</v>
          </cell>
          <cell r="R1148">
            <v>337837.83783783793</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337837.83783783793</v>
          </cell>
          <cell r="AS1148">
            <v>0</v>
          </cell>
        </row>
        <row r="1149">
          <cell r="B1149" t="str">
            <v>1T6(32F)</v>
          </cell>
          <cell r="C1149" t="str">
            <v>装修建筑面积</v>
          </cell>
          <cell r="D1149" t="str">
            <v>m2</v>
          </cell>
          <cell r="G1149">
            <v>0</v>
          </cell>
          <cell r="H1149">
            <v>0</v>
          </cell>
          <cell r="I1149">
            <v>0.10999999999999999</v>
          </cell>
          <cell r="J1149">
            <v>0</v>
          </cell>
          <cell r="K1149">
            <v>0</v>
          </cell>
          <cell r="L1149">
            <v>0</v>
          </cell>
          <cell r="M1149">
            <v>0</v>
          </cell>
          <cell r="O1149" t="str">
            <v>*</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row>
        <row r="1150">
          <cell r="B1150" t="str">
            <v>1T4(30F)</v>
          </cell>
          <cell r="C1150" t="str">
            <v>装修建筑面积</v>
          </cell>
          <cell r="D1150" t="str">
            <v>m2</v>
          </cell>
          <cell r="E1150">
            <v>140</v>
          </cell>
          <cell r="F1150">
            <v>2000</v>
          </cell>
          <cell r="G1150">
            <v>280000</v>
          </cell>
          <cell r="H1150">
            <v>0</v>
          </cell>
          <cell r="I1150">
            <v>0.10999999999999999</v>
          </cell>
          <cell r="J1150">
            <v>1801.801801801802</v>
          </cell>
          <cell r="K1150">
            <v>198.19819819819804</v>
          </cell>
          <cell r="L1150">
            <v>252252.25225225228</v>
          </cell>
          <cell r="M1150">
            <v>27747.747747747722</v>
          </cell>
          <cell r="O1150" t="str">
            <v>*</v>
          </cell>
          <cell r="P1150">
            <v>0</v>
          </cell>
          <cell r="Q1150">
            <v>0</v>
          </cell>
          <cell r="R1150">
            <v>0</v>
          </cell>
          <cell r="S1150">
            <v>252252.25225225228</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252252.25225225228</v>
          </cell>
          <cell r="AS1150">
            <v>0</v>
          </cell>
        </row>
        <row r="1151">
          <cell r="B1151" t="str">
            <v>1T3(30F)</v>
          </cell>
          <cell r="C1151" t="str">
            <v>装修建筑面积</v>
          </cell>
          <cell r="D1151" t="str">
            <v>m2</v>
          </cell>
          <cell r="E1151">
            <v>89</v>
          </cell>
          <cell r="F1151">
            <v>2000</v>
          </cell>
          <cell r="G1151">
            <v>178000</v>
          </cell>
          <cell r="H1151">
            <v>0</v>
          </cell>
          <cell r="I1151">
            <v>0.10999999999999999</v>
          </cell>
          <cell r="J1151">
            <v>1801.801801801802</v>
          </cell>
          <cell r="K1151">
            <v>198.19819819819804</v>
          </cell>
          <cell r="L1151">
            <v>160360.36036036038</v>
          </cell>
          <cell r="M1151">
            <v>17639.639639639616</v>
          </cell>
          <cell r="O1151" t="str">
            <v>*</v>
          </cell>
          <cell r="P1151">
            <v>0</v>
          </cell>
          <cell r="Q1151">
            <v>0</v>
          </cell>
          <cell r="R1151">
            <v>0</v>
          </cell>
          <cell r="S1151">
            <v>0</v>
          </cell>
          <cell r="T1151">
            <v>160360.36036036038</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160360.36036036038</v>
          </cell>
          <cell r="AS1151">
            <v>0</v>
          </cell>
        </row>
        <row r="1152">
          <cell r="B1152" t="str">
            <v>1T2(31F)</v>
          </cell>
          <cell r="C1152" t="str">
            <v>装修建筑面积</v>
          </cell>
          <cell r="D1152" t="str">
            <v>m2</v>
          </cell>
          <cell r="H1152">
            <v>0</v>
          </cell>
          <cell r="I1152">
            <v>0.10999999999999999</v>
          </cell>
          <cell r="J1152">
            <v>0</v>
          </cell>
          <cell r="K1152">
            <v>0</v>
          </cell>
          <cell r="L1152">
            <v>0</v>
          </cell>
          <cell r="M1152">
            <v>0</v>
          </cell>
          <cell r="O1152" t="str">
            <v>*</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row>
        <row r="1153">
          <cell r="B1153" t="str">
            <v>1T8(32F)</v>
          </cell>
          <cell r="C1153" t="str">
            <v>装修建筑面积</v>
          </cell>
          <cell r="D1153" t="str">
            <v>m2</v>
          </cell>
          <cell r="G1153">
            <v>0</v>
          </cell>
          <cell r="H1153">
            <v>0</v>
          </cell>
          <cell r="I1153">
            <v>0.10999999999999999</v>
          </cell>
          <cell r="J1153">
            <v>0</v>
          </cell>
          <cell r="K1153">
            <v>0</v>
          </cell>
          <cell r="L1153">
            <v>0</v>
          </cell>
          <cell r="M1153">
            <v>0</v>
          </cell>
          <cell r="O1153" t="str">
            <v>*</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row>
        <row r="1154">
          <cell r="B1154" t="str">
            <v>中高层洋房</v>
          </cell>
          <cell r="C1154" t="str">
            <v>装修建筑面积</v>
          </cell>
          <cell r="D1154" t="str">
            <v>m2</v>
          </cell>
          <cell r="G1154">
            <v>0</v>
          </cell>
          <cell r="H1154">
            <v>0</v>
          </cell>
          <cell r="I1154">
            <v>0.10999999999999999</v>
          </cell>
          <cell r="J1154">
            <v>0</v>
          </cell>
          <cell r="K1154">
            <v>0</v>
          </cell>
          <cell r="L1154">
            <v>0</v>
          </cell>
          <cell r="M1154">
            <v>0</v>
          </cell>
          <cell r="O1154" t="str">
            <v>*</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row>
        <row r="1155">
          <cell r="B1155" t="str">
            <v>115高层洋房</v>
          </cell>
          <cell r="C1155" t="str">
            <v>装修建筑面积</v>
          </cell>
          <cell r="D1155" t="str">
            <v>m2</v>
          </cell>
          <cell r="G1155">
            <v>0</v>
          </cell>
          <cell r="H1155">
            <v>0</v>
          </cell>
          <cell r="I1155">
            <v>0.10999999999999999</v>
          </cell>
          <cell r="J1155">
            <v>0</v>
          </cell>
          <cell r="K1155">
            <v>0</v>
          </cell>
          <cell r="L1155">
            <v>0</v>
          </cell>
          <cell r="M1155">
            <v>0</v>
          </cell>
          <cell r="O1155" t="str">
            <v>*</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row>
        <row r="1156">
          <cell r="B1156" t="str">
            <v>超高层洋房</v>
          </cell>
          <cell r="C1156" t="str">
            <v>装修建筑面积</v>
          </cell>
          <cell r="D1156" t="str">
            <v>m2</v>
          </cell>
          <cell r="G1156">
            <v>0</v>
          </cell>
          <cell r="H1156">
            <v>0</v>
          </cell>
          <cell r="I1156">
            <v>0.10999999999999999</v>
          </cell>
          <cell r="J1156">
            <v>0</v>
          </cell>
          <cell r="K1156">
            <v>0</v>
          </cell>
          <cell r="L1156">
            <v>0</v>
          </cell>
          <cell r="M1156">
            <v>0</v>
          </cell>
          <cell r="O1156" t="str">
            <v>*</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row>
        <row r="1157">
          <cell r="B1157" t="str">
            <v>公寓</v>
          </cell>
          <cell r="C1157" t="str">
            <v>装修建筑面积</v>
          </cell>
          <cell r="D1157" t="str">
            <v>m2</v>
          </cell>
          <cell r="G1157">
            <v>0</v>
          </cell>
          <cell r="H1157">
            <v>0</v>
          </cell>
          <cell r="I1157">
            <v>0.10999999999999999</v>
          </cell>
          <cell r="J1157">
            <v>0</v>
          </cell>
          <cell r="K1157">
            <v>0</v>
          </cell>
          <cell r="L1157">
            <v>0</v>
          </cell>
          <cell r="M1157">
            <v>0</v>
          </cell>
          <cell r="O1157" t="str">
            <v>*</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row>
        <row r="1158">
          <cell r="B1158" t="str">
            <v>售楼部</v>
          </cell>
          <cell r="C1158" t="str">
            <v>装修建筑面积</v>
          </cell>
          <cell r="D1158" t="str">
            <v>m2</v>
          </cell>
          <cell r="E1158">
            <v>5000</v>
          </cell>
          <cell r="F1158">
            <v>25000</v>
          </cell>
          <cell r="G1158">
            <v>125000000</v>
          </cell>
          <cell r="H1158">
            <v>0</v>
          </cell>
          <cell r="I1158">
            <v>0.10999999999999999</v>
          </cell>
          <cell r="J1158">
            <v>22522.522522522526</v>
          </cell>
          <cell r="K1158">
            <v>2477.4774774774742</v>
          </cell>
          <cell r="L1158">
            <v>112612612.61261263</v>
          </cell>
          <cell r="M1158">
            <v>12387387.387387365</v>
          </cell>
          <cell r="O1158" t="str">
            <v>地上可售面积</v>
          </cell>
          <cell r="P1158">
            <v>0</v>
          </cell>
          <cell r="Q1158">
            <v>19412288.184378762</v>
          </cell>
          <cell r="R1158">
            <v>1701759.6466095815</v>
          </cell>
          <cell r="S1158">
            <v>72990145.343678281</v>
          </cell>
          <cell r="T1158">
            <v>17052679.791573398</v>
          </cell>
          <cell r="U1158">
            <v>0</v>
          </cell>
          <cell r="V1158">
            <v>0</v>
          </cell>
          <cell r="W1158">
            <v>0</v>
          </cell>
          <cell r="X1158">
            <v>0</v>
          </cell>
          <cell r="Y1158">
            <v>0</v>
          </cell>
          <cell r="Z1158">
            <v>0</v>
          </cell>
          <cell r="AA1158">
            <v>0</v>
          </cell>
          <cell r="AB1158">
            <v>1455739.6463726105</v>
          </cell>
          <cell r="AC1158">
            <v>0</v>
          </cell>
          <cell r="AD1158">
            <v>0</v>
          </cell>
          <cell r="AE1158">
            <v>0</v>
          </cell>
          <cell r="AR1158">
            <v>112612612.61261263</v>
          </cell>
          <cell r="AS1158">
            <v>0</v>
          </cell>
        </row>
        <row r="1159">
          <cell r="A1159" t="str">
            <v>06.04.02</v>
          </cell>
          <cell r="B1159" t="str">
            <v>硬装</v>
          </cell>
          <cell r="C1159" t="str">
            <v>可售面积</v>
          </cell>
          <cell r="D1159" t="str">
            <v>m2</v>
          </cell>
          <cell r="E1159">
            <v>154715.32</v>
          </cell>
          <cell r="F1159">
            <v>42.006182710283632</v>
          </cell>
          <cell r="G1159">
            <v>6499000</v>
          </cell>
          <cell r="H1159">
            <v>0</v>
          </cell>
          <cell r="I1159">
            <v>0.10999999999999985</v>
          </cell>
          <cell r="J1159">
            <v>37.843407847102377</v>
          </cell>
          <cell r="K1159">
            <v>4.1627748631812551</v>
          </cell>
          <cell r="L1159">
            <v>5854954.9549549557</v>
          </cell>
          <cell r="M1159">
            <v>644045.04504504427</v>
          </cell>
          <cell r="P1159">
            <v>0</v>
          </cell>
          <cell r="Q1159">
            <v>1039897.9409582886</v>
          </cell>
          <cell r="R1159">
            <v>216819.59817239505</v>
          </cell>
          <cell r="S1159">
            <v>3629653.1026226832</v>
          </cell>
          <cell r="T1159">
            <v>898708.81017570314</v>
          </cell>
          <cell r="U1159">
            <v>0</v>
          </cell>
          <cell r="V1159">
            <v>0</v>
          </cell>
          <cell r="W1159">
            <v>0</v>
          </cell>
          <cell r="X1159">
            <v>0</v>
          </cell>
          <cell r="Y1159">
            <v>0</v>
          </cell>
          <cell r="Z1159">
            <v>0</v>
          </cell>
          <cell r="AA1159">
            <v>0</v>
          </cell>
          <cell r="AB1159">
            <v>69875.503025885293</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5854954.9549549557</v>
          </cell>
          <cell r="AS1159">
            <v>0</v>
          </cell>
        </row>
        <row r="1160">
          <cell r="B1160" t="str">
            <v>样板房</v>
          </cell>
          <cell r="C1160" t="str">
            <v>样板房面积</v>
          </cell>
          <cell r="D1160" t="str">
            <v>m2</v>
          </cell>
          <cell r="E1160">
            <v>499</v>
          </cell>
          <cell r="F1160">
            <v>1000</v>
          </cell>
          <cell r="G1160">
            <v>499000</v>
          </cell>
          <cell r="H1160">
            <v>0</v>
          </cell>
          <cell r="I1160">
            <v>0.10999999999999992</v>
          </cell>
          <cell r="J1160">
            <v>900.90090090090098</v>
          </cell>
          <cell r="K1160">
            <v>99.099099099099021</v>
          </cell>
          <cell r="L1160">
            <v>449549.54954954959</v>
          </cell>
          <cell r="M1160">
            <v>49450.450450450415</v>
          </cell>
          <cell r="P1160">
            <v>0</v>
          </cell>
          <cell r="Q1160">
            <v>108108.10810810812</v>
          </cell>
          <cell r="R1160">
            <v>135135.13513513515</v>
          </cell>
          <cell r="S1160">
            <v>126126.12612612614</v>
          </cell>
          <cell r="T1160">
            <v>80180.180180180192</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449549.54954954959</v>
          </cell>
          <cell r="AS1160">
            <v>0</v>
          </cell>
        </row>
        <row r="1161">
          <cell r="B1161">
            <v>95</v>
          </cell>
          <cell r="C1161" t="str">
            <v>装修建筑面积</v>
          </cell>
          <cell r="D1161" t="str">
            <v>m2</v>
          </cell>
          <cell r="F1161">
            <v>1000</v>
          </cell>
          <cell r="G1161">
            <v>0</v>
          </cell>
          <cell r="H1161">
            <v>0</v>
          </cell>
          <cell r="I1161">
            <v>0.10999999999999999</v>
          </cell>
          <cell r="J1161">
            <v>900.90090090090098</v>
          </cell>
          <cell r="K1161">
            <v>99.099099099099021</v>
          </cell>
          <cell r="L1161">
            <v>0</v>
          </cell>
          <cell r="M1161">
            <v>0</v>
          </cell>
          <cell r="O1161" t="str">
            <v>*</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row>
        <row r="1162">
          <cell r="B1162">
            <v>125</v>
          </cell>
          <cell r="C1162" t="str">
            <v>装修建筑面积</v>
          </cell>
          <cell r="D1162" t="str">
            <v>m2</v>
          </cell>
          <cell r="E1162">
            <v>120</v>
          </cell>
          <cell r="F1162">
            <v>1000</v>
          </cell>
          <cell r="G1162">
            <v>120000</v>
          </cell>
          <cell r="H1162">
            <v>0</v>
          </cell>
          <cell r="I1162">
            <v>0.10999999999999999</v>
          </cell>
          <cell r="J1162">
            <v>900.90090090090098</v>
          </cell>
          <cell r="K1162">
            <v>99.099099099099021</v>
          </cell>
          <cell r="L1162">
            <v>108108.10810810812</v>
          </cell>
          <cell r="M1162">
            <v>11891.891891891879</v>
          </cell>
          <cell r="O1162" t="str">
            <v>*</v>
          </cell>
          <cell r="P1162">
            <v>0</v>
          </cell>
          <cell r="Q1162">
            <v>108108.10810810812</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108108.10810810812</v>
          </cell>
          <cell r="AS1162">
            <v>0</v>
          </cell>
        </row>
        <row r="1163">
          <cell r="B1163">
            <v>150</v>
          </cell>
          <cell r="C1163" t="str">
            <v>装修建筑面积</v>
          </cell>
          <cell r="D1163" t="str">
            <v>m2</v>
          </cell>
          <cell r="E1163">
            <v>150</v>
          </cell>
          <cell r="F1163">
            <v>1000</v>
          </cell>
          <cell r="G1163">
            <v>150000</v>
          </cell>
          <cell r="H1163">
            <v>0</v>
          </cell>
          <cell r="I1163">
            <v>0.10999999999999999</v>
          </cell>
          <cell r="J1163">
            <v>900.90090090090098</v>
          </cell>
          <cell r="K1163">
            <v>99.099099099099021</v>
          </cell>
          <cell r="L1163">
            <v>135135.13513513515</v>
          </cell>
          <cell r="M1163">
            <v>14864.864864864852</v>
          </cell>
          <cell r="O1163" t="str">
            <v>*</v>
          </cell>
          <cell r="P1163">
            <v>0</v>
          </cell>
          <cell r="Q1163">
            <v>0</v>
          </cell>
          <cell r="R1163">
            <v>135135.13513513515</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135135.13513513515</v>
          </cell>
          <cell r="AS1163">
            <v>0</v>
          </cell>
        </row>
        <row r="1164">
          <cell r="B1164" t="str">
            <v>1T6(32F)</v>
          </cell>
          <cell r="C1164" t="str">
            <v>装修建筑面积</v>
          </cell>
          <cell r="D1164" t="str">
            <v>m2</v>
          </cell>
          <cell r="G1164">
            <v>0</v>
          </cell>
          <cell r="H1164">
            <v>0</v>
          </cell>
          <cell r="I1164">
            <v>0.10999999999999999</v>
          </cell>
          <cell r="J1164">
            <v>0</v>
          </cell>
          <cell r="K1164">
            <v>0</v>
          </cell>
          <cell r="L1164">
            <v>0</v>
          </cell>
          <cell r="M1164">
            <v>0</v>
          </cell>
          <cell r="O1164" t="str">
            <v>*</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row>
        <row r="1165">
          <cell r="B1165" t="str">
            <v>1T4(30F)</v>
          </cell>
          <cell r="C1165" t="str">
            <v>装修建筑面积</v>
          </cell>
          <cell r="D1165" t="str">
            <v>m2</v>
          </cell>
          <cell r="E1165">
            <v>140</v>
          </cell>
          <cell r="F1165">
            <v>1000</v>
          </cell>
          <cell r="G1165">
            <v>140000</v>
          </cell>
          <cell r="H1165">
            <v>0</v>
          </cell>
          <cell r="I1165">
            <v>0.10999999999999999</v>
          </cell>
          <cell r="J1165">
            <v>900.90090090090098</v>
          </cell>
          <cell r="K1165">
            <v>99.099099099099021</v>
          </cell>
          <cell r="L1165">
            <v>126126.12612612614</v>
          </cell>
          <cell r="M1165">
            <v>13873.873873873861</v>
          </cell>
          <cell r="O1165" t="str">
            <v>*</v>
          </cell>
          <cell r="P1165">
            <v>0</v>
          </cell>
          <cell r="Q1165">
            <v>0</v>
          </cell>
          <cell r="R1165">
            <v>0</v>
          </cell>
          <cell r="S1165">
            <v>126126.12612612614</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126126.12612612614</v>
          </cell>
          <cell r="AS1165">
            <v>0</v>
          </cell>
        </row>
        <row r="1166">
          <cell r="B1166" t="str">
            <v>1T3(30F)</v>
          </cell>
          <cell r="C1166" t="str">
            <v>装修建筑面积</v>
          </cell>
          <cell r="D1166" t="str">
            <v>m2</v>
          </cell>
          <cell r="E1166">
            <v>89</v>
          </cell>
          <cell r="F1166">
            <v>1000</v>
          </cell>
          <cell r="G1166">
            <v>89000</v>
          </cell>
          <cell r="H1166">
            <v>0</v>
          </cell>
          <cell r="I1166">
            <v>0.10999999999999999</v>
          </cell>
          <cell r="J1166">
            <v>900.90090090090098</v>
          </cell>
          <cell r="K1166">
            <v>99.099099099099021</v>
          </cell>
          <cell r="L1166">
            <v>80180.180180180192</v>
          </cell>
          <cell r="M1166">
            <v>8819.8198198198079</v>
          </cell>
          <cell r="O1166" t="str">
            <v>*</v>
          </cell>
          <cell r="P1166">
            <v>0</v>
          </cell>
          <cell r="Q1166">
            <v>0</v>
          </cell>
          <cell r="R1166">
            <v>0</v>
          </cell>
          <cell r="S1166">
            <v>0</v>
          </cell>
          <cell r="T1166">
            <v>80180.180180180192</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80180.180180180192</v>
          </cell>
          <cell r="AS1166">
            <v>0</v>
          </cell>
        </row>
        <row r="1167">
          <cell r="B1167" t="str">
            <v>1T2(31F)</v>
          </cell>
          <cell r="C1167" t="str">
            <v>装修建筑面积</v>
          </cell>
          <cell r="D1167" t="str">
            <v>m2</v>
          </cell>
          <cell r="H1167">
            <v>0</v>
          </cell>
          <cell r="I1167">
            <v>0.10999999999999999</v>
          </cell>
          <cell r="J1167">
            <v>0</v>
          </cell>
          <cell r="K1167">
            <v>0</v>
          </cell>
          <cell r="L1167">
            <v>0</v>
          </cell>
          <cell r="M1167">
            <v>0</v>
          </cell>
          <cell r="O1167" t="str">
            <v>*</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row>
        <row r="1168">
          <cell r="B1168" t="str">
            <v>1T8(32F)</v>
          </cell>
          <cell r="C1168" t="str">
            <v>装修建筑面积</v>
          </cell>
          <cell r="D1168" t="str">
            <v>m2</v>
          </cell>
          <cell r="G1168">
            <v>0</v>
          </cell>
          <cell r="H1168">
            <v>0</v>
          </cell>
          <cell r="I1168">
            <v>0.10999999999999999</v>
          </cell>
          <cell r="J1168">
            <v>0</v>
          </cell>
          <cell r="K1168">
            <v>0</v>
          </cell>
          <cell r="L1168">
            <v>0</v>
          </cell>
          <cell r="M1168">
            <v>0</v>
          </cell>
          <cell r="O1168" t="str">
            <v>*</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row>
        <row r="1169">
          <cell r="B1169" t="str">
            <v>中高层洋房</v>
          </cell>
          <cell r="C1169" t="str">
            <v>装修建筑面积</v>
          </cell>
          <cell r="D1169" t="str">
            <v>m2</v>
          </cell>
          <cell r="G1169">
            <v>0</v>
          </cell>
          <cell r="H1169">
            <v>0</v>
          </cell>
          <cell r="I1169">
            <v>0.10999999999999999</v>
          </cell>
          <cell r="J1169">
            <v>0</v>
          </cell>
          <cell r="K1169">
            <v>0</v>
          </cell>
          <cell r="L1169">
            <v>0</v>
          </cell>
          <cell r="M1169">
            <v>0</v>
          </cell>
          <cell r="O1169" t="str">
            <v>*</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row>
        <row r="1170">
          <cell r="B1170" t="str">
            <v>115高层洋房</v>
          </cell>
          <cell r="C1170" t="str">
            <v>装修建筑面积</v>
          </cell>
          <cell r="D1170" t="str">
            <v>m2</v>
          </cell>
          <cell r="G1170">
            <v>0</v>
          </cell>
          <cell r="H1170">
            <v>0</v>
          </cell>
          <cell r="I1170">
            <v>0.10999999999999999</v>
          </cell>
          <cell r="J1170">
            <v>0</v>
          </cell>
          <cell r="K1170">
            <v>0</v>
          </cell>
          <cell r="L1170">
            <v>0</v>
          </cell>
          <cell r="M1170">
            <v>0</v>
          </cell>
          <cell r="O1170" t="str">
            <v>*</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row>
        <row r="1171">
          <cell r="B1171" t="str">
            <v>超高层洋房</v>
          </cell>
          <cell r="C1171" t="str">
            <v>装修建筑面积</v>
          </cell>
          <cell r="D1171" t="str">
            <v>m2</v>
          </cell>
          <cell r="G1171">
            <v>0</v>
          </cell>
          <cell r="H1171">
            <v>0</v>
          </cell>
          <cell r="I1171">
            <v>0.10999999999999999</v>
          </cell>
          <cell r="J1171">
            <v>0</v>
          </cell>
          <cell r="K1171">
            <v>0</v>
          </cell>
          <cell r="L1171">
            <v>0</v>
          </cell>
          <cell r="M1171">
            <v>0</v>
          </cell>
          <cell r="O1171" t="str">
            <v>*</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row>
        <row r="1172">
          <cell r="B1172" t="str">
            <v>公寓</v>
          </cell>
          <cell r="C1172" t="str">
            <v>装修建筑面积</v>
          </cell>
          <cell r="D1172" t="str">
            <v>m2</v>
          </cell>
          <cell r="G1172">
            <v>0</v>
          </cell>
          <cell r="H1172">
            <v>0</v>
          </cell>
          <cell r="I1172">
            <v>0.10999999999999999</v>
          </cell>
          <cell r="J1172">
            <v>0</v>
          </cell>
          <cell r="K1172">
            <v>0</v>
          </cell>
          <cell r="L1172">
            <v>0</v>
          </cell>
          <cell r="M1172">
            <v>0</v>
          </cell>
          <cell r="O1172" t="str">
            <v>*</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row>
        <row r="1173">
          <cell r="B1173" t="str">
            <v>售楼部</v>
          </cell>
          <cell r="C1173" t="str">
            <v>装修建筑面积</v>
          </cell>
          <cell r="D1173" t="str">
            <v>m2</v>
          </cell>
          <cell r="E1173">
            <v>5000</v>
          </cell>
          <cell r="F1173">
            <v>1200</v>
          </cell>
          <cell r="G1173">
            <v>6000000</v>
          </cell>
          <cell r="H1173">
            <v>0</v>
          </cell>
          <cell r="I1173">
            <v>0.10999999999999999</v>
          </cell>
          <cell r="J1173">
            <v>1081.0810810810813</v>
          </cell>
          <cell r="K1173">
            <v>118.91891891891873</v>
          </cell>
          <cell r="L1173">
            <v>5405405.4054054059</v>
          </cell>
          <cell r="M1173">
            <v>594594.59459459409</v>
          </cell>
          <cell r="O1173" t="str">
            <v>地上可售面积</v>
          </cell>
          <cell r="P1173">
            <v>0</v>
          </cell>
          <cell r="Q1173">
            <v>931789.83285018045</v>
          </cell>
          <cell r="R1173">
            <v>81684.463037259906</v>
          </cell>
          <cell r="S1173">
            <v>3503526.9764965572</v>
          </cell>
          <cell r="T1173">
            <v>818528.6299955229</v>
          </cell>
          <cell r="U1173">
            <v>0</v>
          </cell>
          <cell r="V1173">
            <v>0</v>
          </cell>
          <cell r="W1173">
            <v>0</v>
          </cell>
          <cell r="X1173">
            <v>0</v>
          </cell>
          <cell r="Y1173">
            <v>0</v>
          </cell>
          <cell r="Z1173">
            <v>0</v>
          </cell>
          <cell r="AA1173">
            <v>0</v>
          </cell>
          <cell r="AB1173">
            <v>69875.503025885293</v>
          </cell>
          <cell r="AC1173">
            <v>0</v>
          </cell>
          <cell r="AD1173">
            <v>0</v>
          </cell>
          <cell r="AE1173">
            <v>0</v>
          </cell>
          <cell r="AR1173">
            <v>5405405.4054054059</v>
          </cell>
          <cell r="AS1173">
            <v>0</v>
          </cell>
        </row>
        <row r="1174">
          <cell r="A1174" t="str">
            <v>06.05</v>
          </cell>
          <cell r="B1174" t="str">
            <v>其他公共配套设施</v>
          </cell>
          <cell r="C1174" t="str">
            <v>可售面积</v>
          </cell>
          <cell r="D1174" t="str">
            <v>m2</v>
          </cell>
          <cell r="E1174">
            <v>154715.32</v>
          </cell>
          <cell r="F1174">
            <v>0</v>
          </cell>
          <cell r="G1174">
            <v>0</v>
          </cell>
          <cell r="I1174">
            <v>0</v>
          </cell>
          <cell r="J1174">
            <v>0</v>
          </cell>
          <cell r="K1174">
            <v>0</v>
          </cell>
          <cell r="L1174">
            <v>0</v>
          </cell>
          <cell r="M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row>
        <row r="1175">
          <cell r="B1175" t="str">
            <v>其中地上计容车库分摊</v>
          </cell>
          <cell r="C1175" t="str">
            <v>其中占地面积</v>
          </cell>
          <cell r="D1175" t="str">
            <v>m2</v>
          </cell>
          <cell r="G1175">
            <v>0</v>
          </cell>
          <cell r="L1175">
            <v>0</v>
          </cell>
          <cell r="M1175">
            <v>0</v>
          </cell>
          <cell r="O1175" t="str">
            <v>地上可售面积</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R1175">
            <v>0</v>
          </cell>
          <cell r="AS1175">
            <v>0</v>
          </cell>
        </row>
        <row r="1176">
          <cell r="B1176" t="str">
            <v>其中非人防地下室车位分摊</v>
          </cell>
          <cell r="C1176" t="str">
            <v>其中占地面积</v>
          </cell>
          <cell r="D1176" t="str">
            <v>m2</v>
          </cell>
          <cell r="G1176">
            <v>0</v>
          </cell>
          <cell r="L1176">
            <v>0</v>
          </cell>
          <cell r="M1176">
            <v>0</v>
          </cell>
          <cell r="O1176" t="str">
            <v>地上可售面积</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R1176">
            <v>0</v>
          </cell>
          <cell r="AS1176">
            <v>0</v>
          </cell>
        </row>
        <row r="1177">
          <cell r="B1177" t="str">
            <v>其中人防地下室车位分摊</v>
          </cell>
          <cell r="C1177" t="str">
            <v>其中占地面积</v>
          </cell>
          <cell r="D1177" t="str">
            <v>m2</v>
          </cell>
          <cell r="G1177">
            <v>0</v>
          </cell>
          <cell r="L1177">
            <v>0</v>
          </cell>
          <cell r="M1177">
            <v>0</v>
          </cell>
          <cell r="O1177" t="str">
            <v>地上可售面积</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R1177">
            <v>0</v>
          </cell>
          <cell r="AS1177">
            <v>0</v>
          </cell>
        </row>
        <row r="1178">
          <cell r="B1178" t="str">
            <v>其中其他公共配套设施</v>
          </cell>
          <cell r="C1178" t="str">
            <v>配套面积</v>
          </cell>
          <cell r="D1178" t="str">
            <v>m2</v>
          </cell>
          <cell r="G1178">
            <v>0</v>
          </cell>
          <cell r="H1178">
            <v>0</v>
          </cell>
          <cell r="I1178">
            <v>0.10999999999999999</v>
          </cell>
          <cell r="J1178">
            <v>0</v>
          </cell>
          <cell r="K1178">
            <v>0</v>
          </cell>
          <cell r="L1178">
            <v>0</v>
          </cell>
          <cell r="M1178">
            <v>0</v>
          </cell>
          <cell r="O1178" t="str">
            <v>地上可售面积</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R1178">
            <v>0</v>
          </cell>
          <cell r="AS1178">
            <v>0</v>
          </cell>
        </row>
        <row r="1179">
          <cell r="A1179" t="str">
            <v>07</v>
          </cell>
          <cell r="B1179" t="str">
            <v>工程建设其他费用</v>
          </cell>
          <cell r="C1179" t="str">
            <v>建筑面积</v>
          </cell>
          <cell r="D1179" t="str">
            <v>m2</v>
          </cell>
          <cell r="E1179">
            <v>241586.90000000002</v>
          </cell>
          <cell r="F1179">
            <v>97.659999999999982</v>
          </cell>
          <cell r="G1179">
            <v>23593376.653999999</v>
          </cell>
          <cell r="I1179">
            <v>8.5022992825482771E-2</v>
          </cell>
          <cell r="J1179">
            <v>90.007309195988455</v>
          </cell>
          <cell r="K1179">
            <v>7.6526908040115273</v>
          </cell>
          <cell r="L1179">
            <v>21744586.806000344</v>
          </cell>
          <cell r="M1179">
            <v>1848789.8479996547</v>
          </cell>
          <cell r="P1179">
            <v>0</v>
          </cell>
          <cell r="Q1179">
            <v>2400494.9362570117</v>
          </cell>
          <cell r="R1179">
            <v>210437.08890022099</v>
          </cell>
          <cell r="S1179">
            <v>9025853.7597416267</v>
          </cell>
          <cell r="T1179">
            <v>2108709.2413054565</v>
          </cell>
          <cell r="U1179">
            <v>0</v>
          </cell>
          <cell r="V1179">
            <v>0</v>
          </cell>
          <cell r="W1179">
            <v>0</v>
          </cell>
          <cell r="X1179">
            <v>0</v>
          </cell>
          <cell r="Y1179">
            <v>0</v>
          </cell>
          <cell r="Z1179">
            <v>0</v>
          </cell>
          <cell r="AA1179">
            <v>0</v>
          </cell>
          <cell r="AB1179">
            <v>180014.61839197684</v>
          </cell>
          <cell r="AC1179">
            <v>0</v>
          </cell>
          <cell r="AD1179">
            <v>0</v>
          </cell>
          <cell r="AE1179">
            <v>0</v>
          </cell>
          <cell r="AF1179">
            <v>0</v>
          </cell>
          <cell r="AG1179">
            <v>6973008.4549617544</v>
          </cell>
          <cell r="AH1179">
            <v>846068.70644229138</v>
          </cell>
          <cell r="AI1179">
            <v>0</v>
          </cell>
          <cell r="AJ1179">
            <v>0</v>
          </cell>
          <cell r="AK1179">
            <v>0</v>
          </cell>
          <cell r="AL1179">
            <v>0</v>
          </cell>
          <cell r="AM1179">
            <v>0</v>
          </cell>
          <cell r="AN1179">
            <v>0</v>
          </cell>
          <cell r="AO1179">
            <v>0</v>
          </cell>
          <cell r="AP1179">
            <v>0</v>
          </cell>
          <cell r="AQ1179">
            <v>0</v>
          </cell>
          <cell r="AR1179">
            <v>21744586.806000341</v>
          </cell>
          <cell r="AS1179">
            <v>0</v>
          </cell>
        </row>
        <row r="1180">
          <cell r="A1180" t="str">
            <v>07.01</v>
          </cell>
          <cell r="B1180" t="str">
            <v>工程监理服务</v>
          </cell>
          <cell r="C1180" t="str">
            <v>建筑面积</v>
          </cell>
          <cell r="D1180" t="str">
            <v>m2</v>
          </cell>
          <cell r="E1180">
            <v>241586.90000000002</v>
          </cell>
          <cell r="F1180">
            <v>25</v>
          </cell>
          <cell r="G1180">
            <v>6039672.5000000009</v>
          </cell>
          <cell r="I1180">
            <v>0.06</v>
          </cell>
          <cell r="J1180">
            <v>23.584905660377359</v>
          </cell>
          <cell r="K1180">
            <v>1.415094339622641</v>
          </cell>
          <cell r="L1180">
            <v>5697804.2452830197</v>
          </cell>
          <cell r="M1180">
            <v>341868.2547169812</v>
          </cell>
          <cell r="N1180" t="str">
            <v>监理按照合作方已签合同价25元/平方米，人防监理费按照10元/平方米（本期无人防）</v>
          </cell>
          <cell r="O1180" t="str">
            <v>建筑面积</v>
          </cell>
          <cell r="P1180">
            <v>0</v>
          </cell>
          <cell r="Q1180">
            <v>629009.43396226421</v>
          </cell>
          <cell r="R1180">
            <v>55141.509433962274</v>
          </cell>
          <cell r="S1180">
            <v>2365073.5849056602</v>
          </cell>
          <cell r="T1180">
            <v>552551.88679245289</v>
          </cell>
          <cell r="U1180">
            <v>0</v>
          </cell>
          <cell r="V1180">
            <v>0</v>
          </cell>
          <cell r="W1180">
            <v>0</v>
          </cell>
          <cell r="X1180">
            <v>0</v>
          </cell>
          <cell r="Y1180">
            <v>0</v>
          </cell>
          <cell r="Z1180">
            <v>0</v>
          </cell>
          <cell r="AA1180">
            <v>0</v>
          </cell>
          <cell r="AB1180">
            <v>47169.811320754714</v>
          </cell>
          <cell r="AC1180">
            <v>0</v>
          </cell>
          <cell r="AD1180">
            <v>0</v>
          </cell>
          <cell r="AE1180">
            <v>0</v>
          </cell>
          <cell r="AF1180">
            <v>0</v>
          </cell>
          <cell r="AG1180">
            <v>1827159.9056603773</v>
          </cell>
          <cell r="AH1180">
            <v>221698.11320754717</v>
          </cell>
          <cell r="AI1180">
            <v>0</v>
          </cell>
          <cell r="AJ1180">
            <v>0</v>
          </cell>
          <cell r="AK1180">
            <v>0</v>
          </cell>
          <cell r="AL1180">
            <v>0</v>
          </cell>
          <cell r="AM1180">
            <v>0</v>
          </cell>
          <cell r="AN1180">
            <v>0</v>
          </cell>
          <cell r="AO1180">
            <v>0</v>
          </cell>
          <cell r="AP1180">
            <v>0</v>
          </cell>
          <cell r="AQ1180">
            <v>0</v>
          </cell>
          <cell r="AR1180">
            <v>5697804.2452830188</v>
          </cell>
          <cell r="AS1180">
            <v>0</v>
          </cell>
        </row>
        <row r="1181">
          <cell r="A1181" t="str">
            <v>07.02</v>
          </cell>
          <cell r="B1181" t="str">
            <v>工程造价咨询</v>
          </cell>
          <cell r="C1181" t="str">
            <v>建筑面积</v>
          </cell>
          <cell r="D1181" t="str">
            <v>m2</v>
          </cell>
          <cell r="E1181">
            <v>241586.90000000002</v>
          </cell>
          <cell r="F1181">
            <v>5</v>
          </cell>
          <cell r="G1181">
            <v>1207934.5</v>
          </cell>
          <cell r="I1181">
            <v>0.06</v>
          </cell>
          <cell r="J1181">
            <v>4.7169811320754711</v>
          </cell>
          <cell r="K1181">
            <v>0.28301886792452891</v>
          </cell>
          <cell r="L1181">
            <v>1139560.8490566039</v>
          </cell>
          <cell r="M1181">
            <v>68373.650943396147</v>
          </cell>
          <cell r="N1181" t="str">
            <v>按照标段预留，暂定2个标段，每个标段26.5万元，折合建筑单方5元/m2</v>
          </cell>
          <cell r="O1181" t="str">
            <v>建筑面积</v>
          </cell>
          <cell r="P1181">
            <v>0</v>
          </cell>
          <cell r="Q1181">
            <v>125801.88679245283</v>
          </cell>
          <cell r="R1181">
            <v>11028.301886792453</v>
          </cell>
          <cell r="S1181">
            <v>473014.71698113199</v>
          </cell>
          <cell r="T1181">
            <v>110510.37735849056</v>
          </cell>
          <cell r="U1181">
            <v>0</v>
          </cell>
          <cell r="V1181">
            <v>0</v>
          </cell>
          <cell r="W1181">
            <v>0</v>
          </cell>
          <cell r="X1181">
            <v>0</v>
          </cell>
          <cell r="Y1181">
            <v>0</v>
          </cell>
          <cell r="Z1181">
            <v>0</v>
          </cell>
          <cell r="AA1181">
            <v>0</v>
          </cell>
          <cell r="AB1181">
            <v>9433.9622641509432</v>
          </cell>
          <cell r="AC1181">
            <v>0</v>
          </cell>
          <cell r="AD1181">
            <v>0</v>
          </cell>
          <cell r="AE1181">
            <v>0</v>
          </cell>
          <cell r="AF1181">
            <v>0</v>
          </cell>
          <cell r="AG1181">
            <v>365431.98113207542</v>
          </cell>
          <cell r="AH1181">
            <v>44339.622641509428</v>
          </cell>
          <cell r="AI1181">
            <v>0</v>
          </cell>
          <cell r="AJ1181">
            <v>0</v>
          </cell>
          <cell r="AK1181">
            <v>0</v>
          </cell>
          <cell r="AL1181">
            <v>0</v>
          </cell>
          <cell r="AM1181">
            <v>0</v>
          </cell>
          <cell r="AN1181">
            <v>0</v>
          </cell>
          <cell r="AO1181">
            <v>0</v>
          </cell>
          <cell r="AP1181">
            <v>0</v>
          </cell>
          <cell r="AQ1181">
            <v>0</v>
          </cell>
          <cell r="AR1181">
            <v>1139560.8490566036</v>
          </cell>
          <cell r="AS1181">
            <v>0</v>
          </cell>
        </row>
        <row r="1182">
          <cell r="A1182" t="str">
            <v>07.03</v>
          </cell>
          <cell r="B1182" t="str">
            <v>工程保险</v>
          </cell>
          <cell r="C1182" t="str">
            <v>建筑面积</v>
          </cell>
          <cell r="D1182" t="str">
            <v>m2</v>
          </cell>
          <cell r="E1182">
            <v>241586.90000000002</v>
          </cell>
          <cell r="G1182">
            <v>0</v>
          </cell>
          <cell r="I1182">
            <v>0</v>
          </cell>
          <cell r="J1182">
            <v>0</v>
          </cell>
          <cell r="K1182">
            <v>0</v>
          </cell>
          <cell r="L1182">
            <v>0</v>
          </cell>
          <cell r="M1182">
            <v>0</v>
          </cell>
          <cell r="O1182" t="str">
            <v>建筑面积</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row>
        <row r="1183">
          <cell r="A1183" t="str">
            <v>07.04</v>
          </cell>
          <cell r="B1183" t="str">
            <v>工程奖励</v>
          </cell>
          <cell r="C1183" t="str">
            <v>建筑面积</v>
          </cell>
          <cell r="D1183" t="str">
            <v>m2</v>
          </cell>
          <cell r="E1183">
            <v>241586.90000000002</v>
          </cell>
          <cell r="G1183">
            <v>0</v>
          </cell>
          <cell r="I1183">
            <v>0.11</v>
          </cell>
          <cell r="J1183">
            <v>0</v>
          </cell>
          <cell r="K1183">
            <v>0</v>
          </cell>
          <cell r="L1183">
            <v>0</v>
          </cell>
          <cell r="M1183">
            <v>0</v>
          </cell>
          <cell r="O1183" t="str">
            <v>建筑面积</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row>
        <row r="1184">
          <cell r="A1184" t="str">
            <v>07.05</v>
          </cell>
          <cell r="B1184" t="str">
            <v>物业维修费</v>
          </cell>
          <cell r="C1184" t="str">
            <v>建筑面积</v>
          </cell>
          <cell r="D1184" t="str">
            <v>m2</v>
          </cell>
          <cell r="E1184">
            <v>241586.90000000002</v>
          </cell>
          <cell r="F1184">
            <v>5</v>
          </cell>
          <cell r="G1184">
            <v>1207934.5</v>
          </cell>
          <cell r="I1184">
            <v>0.11</v>
          </cell>
          <cell r="J1184">
            <v>4.5045045045045038</v>
          </cell>
          <cell r="K1184">
            <v>0.49549549549549621</v>
          </cell>
          <cell r="L1184">
            <v>1088229.2792792793</v>
          </cell>
          <cell r="M1184">
            <v>119705.22072072071</v>
          </cell>
          <cell r="N1184" t="str">
            <v>按照银滩一期的维修情况，按5元/m2</v>
          </cell>
          <cell r="O1184" t="str">
            <v>建筑面积</v>
          </cell>
          <cell r="P1184">
            <v>0</v>
          </cell>
          <cell r="Q1184">
            <v>120135.13513513513</v>
          </cell>
          <cell r="R1184">
            <v>10531.531531531531</v>
          </cell>
          <cell r="S1184">
            <v>451707.74774774764</v>
          </cell>
          <cell r="T1184">
            <v>105532.43243243243</v>
          </cell>
          <cell r="U1184">
            <v>0</v>
          </cell>
          <cell r="V1184">
            <v>0</v>
          </cell>
          <cell r="W1184">
            <v>0</v>
          </cell>
          <cell r="X1184">
            <v>0</v>
          </cell>
          <cell r="Y1184">
            <v>0</v>
          </cell>
          <cell r="Z1184">
            <v>0</v>
          </cell>
          <cell r="AA1184">
            <v>0</v>
          </cell>
          <cell r="AB1184">
            <v>9009.0090090090071</v>
          </cell>
          <cell r="AC1184">
            <v>0</v>
          </cell>
          <cell r="AD1184">
            <v>0</v>
          </cell>
          <cell r="AE1184">
            <v>0</v>
          </cell>
          <cell r="AF1184">
            <v>0</v>
          </cell>
          <cell r="AG1184">
            <v>348971.08108108107</v>
          </cell>
          <cell r="AH1184">
            <v>42342.342342342337</v>
          </cell>
          <cell r="AI1184">
            <v>0</v>
          </cell>
          <cell r="AJ1184">
            <v>0</v>
          </cell>
          <cell r="AK1184">
            <v>0</v>
          </cell>
          <cell r="AL1184">
            <v>0</v>
          </cell>
          <cell r="AM1184">
            <v>0</v>
          </cell>
          <cell r="AN1184">
            <v>0</v>
          </cell>
          <cell r="AO1184">
            <v>0</v>
          </cell>
          <cell r="AP1184">
            <v>0</v>
          </cell>
          <cell r="AQ1184">
            <v>0</v>
          </cell>
          <cell r="AR1184">
            <v>1088229.2792792791</v>
          </cell>
          <cell r="AS1184">
            <v>0</v>
          </cell>
        </row>
        <row r="1185">
          <cell r="A1185" t="str">
            <v>07.06</v>
          </cell>
          <cell r="B1185" t="str">
            <v>赶工费</v>
          </cell>
          <cell r="C1185" t="str">
            <v>赶工建筑面积</v>
          </cell>
          <cell r="D1185" t="str">
            <v>m2</v>
          </cell>
          <cell r="E1185">
            <v>241586.90000000002</v>
          </cell>
          <cell r="F1185">
            <v>45</v>
          </cell>
          <cell r="G1185">
            <v>10871410.500000002</v>
          </cell>
          <cell r="I1185">
            <v>0.11</v>
          </cell>
          <cell r="J1185">
            <v>40.54054054054054</v>
          </cell>
          <cell r="K1185">
            <v>4.4594594594594597</v>
          </cell>
          <cell r="L1185">
            <v>9794063.5135135148</v>
          </cell>
          <cell r="M1185">
            <v>1077346.9864864871</v>
          </cell>
          <cell r="N1185" t="str">
            <v>预估45元/m2的赶工费用</v>
          </cell>
          <cell r="O1185" t="str">
            <v>建筑面积</v>
          </cell>
          <cell r="P1185">
            <v>0</v>
          </cell>
          <cell r="Q1185">
            <v>1081216.2162162163</v>
          </cell>
          <cell r="R1185">
            <v>94783.783783783787</v>
          </cell>
          <cell r="S1185">
            <v>4065369.7297297292</v>
          </cell>
          <cell r="T1185">
            <v>949791.89189189195</v>
          </cell>
          <cell r="U1185">
            <v>0</v>
          </cell>
          <cell r="V1185">
            <v>0</v>
          </cell>
          <cell r="W1185">
            <v>0</v>
          </cell>
          <cell r="X1185">
            <v>0</v>
          </cell>
          <cell r="Y1185">
            <v>0</v>
          </cell>
          <cell r="Z1185">
            <v>0</v>
          </cell>
          <cell r="AA1185">
            <v>0</v>
          </cell>
          <cell r="AB1185">
            <v>81081.08108108108</v>
          </cell>
          <cell r="AC1185">
            <v>0</v>
          </cell>
          <cell r="AD1185">
            <v>0</v>
          </cell>
          <cell r="AE1185">
            <v>0</v>
          </cell>
          <cell r="AF1185">
            <v>0</v>
          </cell>
          <cell r="AG1185">
            <v>3140739.7297297297</v>
          </cell>
          <cell r="AH1185">
            <v>381081.08108108107</v>
          </cell>
          <cell r="AI1185">
            <v>0</v>
          </cell>
          <cell r="AJ1185">
            <v>0</v>
          </cell>
          <cell r="AK1185">
            <v>0</v>
          </cell>
          <cell r="AL1185">
            <v>0</v>
          </cell>
          <cell r="AM1185">
            <v>0</v>
          </cell>
          <cell r="AN1185">
            <v>0</v>
          </cell>
          <cell r="AO1185">
            <v>0</v>
          </cell>
          <cell r="AP1185">
            <v>0</v>
          </cell>
          <cell r="AQ1185">
            <v>0</v>
          </cell>
          <cell r="AR1185">
            <v>9794063.5135135129</v>
          </cell>
          <cell r="AS1185">
            <v>0</v>
          </cell>
        </row>
        <row r="1186">
          <cell r="A1186" t="str">
            <v>07.07</v>
          </cell>
          <cell r="B1186" t="str">
            <v>开荒清洁费</v>
          </cell>
          <cell r="C1186" t="str">
            <v>建筑面积</v>
          </cell>
          <cell r="D1186" t="str">
            <v>m2</v>
          </cell>
          <cell r="E1186">
            <v>241586.90000000002</v>
          </cell>
          <cell r="F1186">
            <v>5</v>
          </cell>
          <cell r="G1186">
            <v>1207934.5</v>
          </cell>
          <cell r="I1186">
            <v>0.06</v>
          </cell>
          <cell r="J1186">
            <v>4.7169811320754711</v>
          </cell>
          <cell r="K1186">
            <v>0.28301886792452891</v>
          </cell>
          <cell r="L1186">
            <v>1139560.8490566039</v>
          </cell>
          <cell r="M1186">
            <v>68373.650943396147</v>
          </cell>
          <cell r="N1186" t="str">
            <v>参照十里银滩已结算价，按5元/m2</v>
          </cell>
          <cell r="O1186" t="str">
            <v>建筑面积</v>
          </cell>
          <cell r="P1186">
            <v>0</v>
          </cell>
          <cell r="Q1186">
            <v>125801.88679245283</v>
          </cell>
          <cell r="R1186">
            <v>11028.301886792453</v>
          </cell>
          <cell r="S1186">
            <v>473014.71698113199</v>
          </cell>
          <cell r="T1186">
            <v>110510.37735849056</v>
          </cell>
          <cell r="U1186">
            <v>0</v>
          </cell>
          <cell r="V1186">
            <v>0</v>
          </cell>
          <cell r="W1186">
            <v>0</v>
          </cell>
          <cell r="X1186">
            <v>0</v>
          </cell>
          <cell r="Y1186">
            <v>0</v>
          </cell>
          <cell r="Z1186">
            <v>0</v>
          </cell>
          <cell r="AA1186">
            <v>0</v>
          </cell>
          <cell r="AB1186">
            <v>9433.9622641509432</v>
          </cell>
          <cell r="AC1186">
            <v>0</v>
          </cell>
          <cell r="AD1186">
            <v>0</v>
          </cell>
          <cell r="AE1186">
            <v>0</v>
          </cell>
          <cell r="AF1186">
            <v>0</v>
          </cell>
          <cell r="AG1186">
            <v>365431.98113207542</v>
          </cell>
          <cell r="AH1186">
            <v>44339.622641509428</v>
          </cell>
          <cell r="AI1186">
            <v>0</v>
          </cell>
          <cell r="AJ1186">
            <v>0</v>
          </cell>
          <cell r="AK1186">
            <v>0</v>
          </cell>
          <cell r="AL1186">
            <v>0</v>
          </cell>
          <cell r="AM1186">
            <v>0</v>
          </cell>
          <cell r="AN1186">
            <v>0</v>
          </cell>
          <cell r="AO1186">
            <v>0</v>
          </cell>
          <cell r="AP1186">
            <v>0</v>
          </cell>
          <cell r="AQ1186">
            <v>0</v>
          </cell>
          <cell r="AR1186">
            <v>1139560.8490566036</v>
          </cell>
          <cell r="AS1186">
            <v>0</v>
          </cell>
        </row>
        <row r="1187">
          <cell r="A1187" t="str">
            <v>07.08</v>
          </cell>
          <cell r="B1187" t="str">
            <v>物业前期介入费</v>
          </cell>
          <cell r="C1187" t="str">
            <v>建筑面积</v>
          </cell>
          <cell r="D1187" t="str">
            <v>m2</v>
          </cell>
          <cell r="E1187">
            <v>241586.90000000002</v>
          </cell>
          <cell r="F1187">
            <v>12.66</v>
          </cell>
          <cell r="G1187">
            <v>3058490.1540000001</v>
          </cell>
          <cell r="I1187">
            <v>0.06</v>
          </cell>
          <cell r="J1187">
            <v>11.943396226415095</v>
          </cell>
          <cell r="K1187">
            <v>0.71660377358490557</v>
          </cell>
          <cell r="L1187">
            <v>2885368.0698113209</v>
          </cell>
          <cell r="M1187">
            <v>173122.08418867923</v>
          </cell>
          <cell r="N1187" t="str">
            <v>按2年考虑，45个人工资预算（综合考虑前期其他项目物业支援费用）</v>
          </cell>
          <cell r="O1187" t="str">
            <v>建筑面积</v>
          </cell>
          <cell r="P1187">
            <v>0</v>
          </cell>
          <cell r="Q1187">
            <v>318530.37735849054</v>
          </cell>
          <cell r="R1187">
            <v>27923.66037735849</v>
          </cell>
          <cell r="S1187">
            <v>1197673.2633962261</v>
          </cell>
          <cell r="T1187">
            <v>279812.27547169809</v>
          </cell>
          <cell r="U1187">
            <v>0</v>
          </cell>
          <cell r="V1187">
            <v>0</v>
          </cell>
          <cell r="W1187">
            <v>0</v>
          </cell>
          <cell r="X1187">
            <v>0</v>
          </cell>
          <cell r="Y1187">
            <v>0</v>
          </cell>
          <cell r="Z1187">
            <v>0</v>
          </cell>
          <cell r="AA1187">
            <v>0</v>
          </cell>
          <cell r="AB1187">
            <v>23886.792452830185</v>
          </cell>
          <cell r="AC1187">
            <v>0</v>
          </cell>
          <cell r="AD1187">
            <v>0</v>
          </cell>
          <cell r="AE1187">
            <v>0</v>
          </cell>
          <cell r="AF1187">
            <v>0</v>
          </cell>
          <cell r="AG1187">
            <v>925273.77622641507</v>
          </cell>
          <cell r="AH1187">
            <v>112267.92452830188</v>
          </cell>
          <cell r="AI1187">
            <v>0</v>
          </cell>
          <cell r="AJ1187">
            <v>0</v>
          </cell>
          <cell r="AK1187">
            <v>0</v>
          </cell>
          <cell r="AL1187">
            <v>0</v>
          </cell>
          <cell r="AM1187">
            <v>0</v>
          </cell>
          <cell r="AN1187">
            <v>0</v>
          </cell>
          <cell r="AO1187">
            <v>0</v>
          </cell>
          <cell r="AP1187">
            <v>0</v>
          </cell>
          <cell r="AQ1187">
            <v>0</v>
          </cell>
          <cell r="AR1187">
            <v>2885368.0698113199</v>
          </cell>
          <cell r="AS1187">
            <v>0</v>
          </cell>
        </row>
        <row r="1188">
          <cell r="A1188" t="str">
            <v>08</v>
          </cell>
          <cell r="B1188" t="str">
            <v>开发间接费用</v>
          </cell>
          <cell r="C1188" t="str">
            <v>建筑面积</v>
          </cell>
          <cell r="D1188" t="str">
            <v>m2</v>
          </cell>
          <cell r="E1188">
            <v>241586.90000000002</v>
          </cell>
          <cell r="F1188">
            <v>100</v>
          </cell>
          <cell r="G1188">
            <v>24158690.000000004</v>
          </cell>
          <cell r="I1188">
            <v>0</v>
          </cell>
          <cell r="J1188">
            <v>100</v>
          </cell>
          <cell r="K1188">
            <v>0</v>
          </cell>
          <cell r="L1188">
            <v>24158690.000000004</v>
          </cell>
          <cell r="M1188">
            <v>0</v>
          </cell>
          <cell r="N1188" t="str">
            <v>考虑项目开发周期3年，共需费用1062万元（主要考虑项目部人员工资福利和办公费用、商业保险、空置房管理费用，折旧费用等）</v>
          </cell>
          <cell r="O1188" t="str">
            <v>建筑面积</v>
          </cell>
          <cell r="P1188">
            <v>0</v>
          </cell>
          <cell r="Q1188">
            <v>2667000.0000000005</v>
          </cell>
          <cell r="R1188">
            <v>233800.00000000003</v>
          </cell>
          <cell r="S1188">
            <v>10027912</v>
          </cell>
          <cell r="T1188">
            <v>2342820</v>
          </cell>
          <cell r="U1188">
            <v>0</v>
          </cell>
          <cell r="V1188">
            <v>0</v>
          </cell>
          <cell r="W1188">
            <v>0</v>
          </cell>
          <cell r="X1188">
            <v>0</v>
          </cell>
          <cell r="Y1188">
            <v>0</v>
          </cell>
          <cell r="Z1188">
            <v>0</v>
          </cell>
          <cell r="AA1188">
            <v>0</v>
          </cell>
          <cell r="AB1188">
            <v>200000</v>
          </cell>
          <cell r="AC1188">
            <v>0</v>
          </cell>
          <cell r="AD1188">
            <v>0</v>
          </cell>
          <cell r="AE1188">
            <v>0</v>
          </cell>
          <cell r="AF1188">
            <v>0</v>
          </cell>
          <cell r="AG1188">
            <v>7747158</v>
          </cell>
          <cell r="AH1188">
            <v>940000</v>
          </cell>
          <cell r="AI1188">
            <v>0</v>
          </cell>
          <cell r="AJ1188">
            <v>0</v>
          </cell>
          <cell r="AK1188">
            <v>0</v>
          </cell>
          <cell r="AL1188">
            <v>0</v>
          </cell>
          <cell r="AM1188">
            <v>0</v>
          </cell>
          <cell r="AN1188">
            <v>0</v>
          </cell>
          <cell r="AO1188">
            <v>0</v>
          </cell>
          <cell r="AP1188">
            <v>0</v>
          </cell>
          <cell r="AQ1188">
            <v>0</v>
          </cell>
          <cell r="AR1188">
            <v>24158690</v>
          </cell>
          <cell r="AS1188">
            <v>0</v>
          </cell>
        </row>
        <row r="1189">
          <cell r="A1189" t="str">
            <v>09</v>
          </cell>
          <cell r="B1189" t="str">
            <v>营销费用</v>
          </cell>
          <cell r="C1189" t="str">
            <v>销售收入</v>
          </cell>
          <cell r="D1189" t="str">
            <v>万元</v>
          </cell>
          <cell r="E1189">
            <v>372446.64</v>
          </cell>
          <cell r="F1189">
            <v>0.05</v>
          </cell>
          <cell r="G1189">
            <v>186223320.00000003</v>
          </cell>
          <cell r="I1189">
            <v>0</v>
          </cell>
          <cell r="J1189">
            <v>0.05</v>
          </cell>
          <cell r="K1189">
            <v>0</v>
          </cell>
          <cell r="L1189">
            <v>186223320.00000003</v>
          </cell>
          <cell r="M1189">
            <v>0</v>
          </cell>
          <cell r="P1189">
            <v>0</v>
          </cell>
          <cell r="Q1189">
            <v>53340000</v>
          </cell>
          <cell r="R1189">
            <v>4676000</v>
          </cell>
          <cell r="S1189">
            <v>100279120</v>
          </cell>
          <cell r="T1189">
            <v>23428200</v>
          </cell>
          <cell r="U1189">
            <v>0</v>
          </cell>
          <cell r="V1189">
            <v>0</v>
          </cell>
          <cell r="W1189">
            <v>0</v>
          </cell>
          <cell r="X1189">
            <v>0</v>
          </cell>
          <cell r="Y1189">
            <v>0</v>
          </cell>
          <cell r="Z1189">
            <v>0</v>
          </cell>
          <cell r="AA1189">
            <v>0</v>
          </cell>
          <cell r="AB1189">
            <v>4500000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186223320</v>
          </cell>
          <cell r="AS1189">
            <v>0</v>
          </cell>
        </row>
        <row r="1190">
          <cell r="B1190" t="str">
            <v>项目营销费用</v>
          </cell>
          <cell r="C1190" t="str">
            <v>销售收入</v>
          </cell>
          <cell r="D1190" t="str">
            <v>万元</v>
          </cell>
          <cell r="E1190">
            <v>372446.64</v>
          </cell>
          <cell r="F1190">
            <v>0.05</v>
          </cell>
          <cell r="G1190">
            <v>186223320.00000003</v>
          </cell>
          <cell r="H1190">
            <v>0</v>
          </cell>
          <cell r="I1190">
            <v>0</v>
          </cell>
          <cell r="J1190">
            <v>0.05</v>
          </cell>
          <cell r="L1190">
            <v>186223320.00000003</v>
          </cell>
          <cell r="M1190">
            <v>0</v>
          </cell>
          <cell r="N1190" t="str">
            <v>按销售收入的5%（包含营销人员工资、佣金、推广、日常支出费用）；另考虑看房动线及包装等需在工程费用中支出的成本</v>
          </cell>
          <cell r="O1190" t="str">
            <v>销售收入</v>
          </cell>
          <cell r="P1190">
            <v>0</v>
          </cell>
          <cell r="Q1190">
            <v>53340000</v>
          </cell>
          <cell r="R1190">
            <v>4676000</v>
          </cell>
          <cell r="S1190">
            <v>100279120</v>
          </cell>
          <cell r="T1190">
            <v>23428200</v>
          </cell>
          <cell r="U1190">
            <v>0</v>
          </cell>
          <cell r="V1190">
            <v>0</v>
          </cell>
          <cell r="W1190">
            <v>0</v>
          </cell>
          <cell r="X1190">
            <v>0</v>
          </cell>
          <cell r="Y1190">
            <v>0</v>
          </cell>
          <cell r="Z1190">
            <v>0</v>
          </cell>
          <cell r="AA1190">
            <v>0</v>
          </cell>
          <cell r="AB1190">
            <v>4500000</v>
          </cell>
          <cell r="AC1190">
            <v>0</v>
          </cell>
          <cell r="AD1190">
            <v>0</v>
          </cell>
          <cell r="AE1190">
            <v>0</v>
          </cell>
          <cell r="AF1190">
            <v>0</v>
          </cell>
          <cell r="AG1190">
            <v>0</v>
          </cell>
          <cell r="AH1190">
            <v>0</v>
          </cell>
          <cell r="AR1190">
            <v>186223320</v>
          </cell>
          <cell r="AS1190">
            <v>0</v>
          </cell>
        </row>
        <row r="1191">
          <cell r="B1191" t="str">
            <v>销售案场特约物业服务费</v>
          </cell>
          <cell r="G1191">
            <v>0</v>
          </cell>
          <cell r="I1191">
            <v>0</v>
          </cell>
          <cell r="J1191">
            <v>0</v>
          </cell>
          <cell r="L1191">
            <v>0</v>
          </cell>
          <cell r="M1191">
            <v>0</v>
          </cell>
          <cell r="O1191" t="str">
            <v>销售收入</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R1191">
            <v>0</v>
          </cell>
          <cell r="AS1191">
            <v>0</v>
          </cell>
        </row>
        <row r="1192">
          <cell r="B1192" t="str">
            <v>其他营销费用</v>
          </cell>
          <cell r="G1192">
            <v>0</v>
          </cell>
          <cell r="L1192">
            <v>0</v>
          </cell>
          <cell r="M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R1192">
            <v>0</v>
          </cell>
          <cell r="AS1192">
            <v>0</v>
          </cell>
        </row>
        <row r="1193">
          <cell r="B1193" t="str">
            <v>减免赠送物业费</v>
          </cell>
          <cell r="G1193">
            <v>0</v>
          </cell>
          <cell r="I1193">
            <v>0</v>
          </cell>
          <cell r="L1193">
            <v>0</v>
          </cell>
          <cell r="M1193">
            <v>0</v>
          </cell>
          <cell r="O1193" t="str">
            <v>销售收入</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R1193">
            <v>0</v>
          </cell>
          <cell r="AS1193">
            <v>0</v>
          </cell>
        </row>
        <row r="1194">
          <cell r="B1194" t="str">
            <v>临时展销中心</v>
          </cell>
          <cell r="G1194">
            <v>0</v>
          </cell>
          <cell r="I1194">
            <v>0</v>
          </cell>
          <cell r="L1194">
            <v>0</v>
          </cell>
          <cell r="M1194">
            <v>0</v>
          </cell>
          <cell r="O1194" t="str">
            <v>销售收入</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R1194">
            <v>0</v>
          </cell>
          <cell r="AS1194">
            <v>0</v>
          </cell>
        </row>
        <row r="1195">
          <cell r="B1195" t="str">
            <v>酒店开业期亏损</v>
          </cell>
          <cell r="G1195">
            <v>0</v>
          </cell>
          <cell r="I1195">
            <v>0</v>
          </cell>
          <cell r="L1195">
            <v>0</v>
          </cell>
          <cell r="M1195">
            <v>0</v>
          </cell>
          <cell r="O1195" t="str">
            <v>销售收入</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R1195">
            <v>0</v>
          </cell>
          <cell r="AS1195">
            <v>0</v>
          </cell>
        </row>
        <row r="1196">
          <cell r="A1196" t="str">
            <v>10</v>
          </cell>
          <cell r="B1196" t="str">
            <v>财务费用</v>
          </cell>
          <cell r="C1196" t="str">
            <v>销售收入</v>
          </cell>
          <cell r="D1196" t="str">
            <v>万元</v>
          </cell>
          <cell r="E1196">
            <v>372446.64</v>
          </cell>
          <cell r="F1196">
            <v>0.01</v>
          </cell>
          <cell r="G1196">
            <v>36656053.125077769</v>
          </cell>
          <cell r="I1196">
            <v>0</v>
          </cell>
          <cell r="J1196">
            <v>0.01</v>
          </cell>
          <cell r="K1196">
            <v>0</v>
          </cell>
          <cell r="L1196">
            <v>36656053.125077769</v>
          </cell>
          <cell r="M1196">
            <v>0</v>
          </cell>
          <cell r="O1196" t="str">
            <v>销售收入</v>
          </cell>
          <cell r="P1196">
            <v>0</v>
          </cell>
          <cell r="Q1196">
            <v>8963926.9848068096</v>
          </cell>
          <cell r="R1196">
            <v>785814.07163398282</v>
          </cell>
          <cell r="S1196">
            <v>18662470.5744537</v>
          </cell>
          <cell r="T1196">
            <v>4360110.9893307425</v>
          </cell>
          <cell r="U1196">
            <v>0</v>
          </cell>
          <cell r="V1196">
            <v>0</v>
          </cell>
          <cell r="W1196">
            <v>0</v>
          </cell>
          <cell r="X1196">
            <v>0</v>
          </cell>
          <cell r="Y1196">
            <v>0</v>
          </cell>
          <cell r="Z1196">
            <v>0</v>
          </cell>
          <cell r="AA1196">
            <v>0</v>
          </cell>
          <cell r="AB1196">
            <v>747210.49754831719</v>
          </cell>
          <cell r="AC1196">
            <v>0</v>
          </cell>
          <cell r="AD1196">
            <v>0</v>
          </cell>
          <cell r="AE1196">
            <v>0</v>
          </cell>
          <cell r="AF1196">
            <v>0</v>
          </cell>
          <cell r="AG1196">
            <v>2797130.6688271286</v>
          </cell>
          <cell r="AH1196">
            <v>339389.33847709064</v>
          </cell>
          <cell r="AI1196">
            <v>0</v>
          </cell>
          <cell r="AJ1196">
            <v>0</v>
          </cell>
          <cell r="AK1196">
            <v>0</v>
          </cell>
          <cell r="AL1196">
            <v>0</v>
          </cell>
          <cell r="AM1196">
            <v>0</v>
          </cell>
          <cell r="AN1196">
            <v>0</v>
          </cell>
          <cell r="AO1196">
            <v>0</v>
          </cell>
          <cell r="AP1196">
            <v>0</v>
          </cell>
          <cell r="AQ1196">
            <v>0</v>
          </cell>
          <cell r="AR1196">
            <v>36656053.125077769</v>
          </cell>
          <cell r="AS1196">
            <v>0</v>
          </cell>
        </row>
        <row r="1197">
          <cell r="A1197" t="str">
            <v>10.1</v>
          </cell>
          <cell r="B1197" t="str">
            <v>一般财务费用</v>
          </cell>
          <cell r="C1197" t="str">
            <v>销售收入</v>
          </cell>
          <cell r="D1197" t="str">
            <v>万元</v>
          </cell>
          <cell r="E1197">
            <v>372446.64</v>
          </cell>
          <cell r="F1197">
            <v>7.4999999999999997E-3</v>
          </cell>
          <cell r="G1197">
            <v>27933498</v>
          </cell>
          <cell r="I1197">
            <v>0</v>
          </cell>
          <cell r="J1197">
            <v>7.4999999999999997E-3</v>
          </cell>
          <cell r="K1197">
            <v>0</v>
          </cell>
          <cell r="L1197">
            <v>27933498</v>
          </cell>
          <cell r="M1197">
            <v>0</v>
          </cell>
          <cell r="N1197" t="str">
            <v>按照销售收入0.75%，主要包含刷卡手续费、贷款利息</v>
          </cell>
          <cell r="O1197" t="str">
            <v>销售收入</v>
          </cell>
          <cell r="P1197">
            <v>0</v>
          </cell>
          <cell r="Q1197">
            <v>8001000</v>
          </cell>
          <cell r="R1197">
            <v>701400</v>
          </cell>
          <cell r="S1197">
            <v>15041868</v>
          </cell>
          <cell r="T1197">
            <v>3514230</v>
          </cell>
          <cell r="U1197">
            <v>0</v>
          </cell>
          <cell r="V1197">
            <v>0</v>
          </cell>
          <cell r="W1197">
            <v>0</v>
          </cell>
          <cell r="X1197">
            <v>0</v>
          </cell>
          <cell r="Y1197">
            <v>0</v>
          </cell>
          <cell r="Z1197">
            <v>0</v>
          </cell>
          <cell r="AA1197">
            <v>0</v>
          </cell>
          <cell r="AB1197">
            <v>675000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27933498</v>
          </cell>
          <cell r="AS1197">
            <v>0</v>
          </cell>
        </row>
        <row r="1198">
          <cell r="A1198" t="str">
            <v>10.2</v>
          </cell>
          <cell r="B1198" t="str">
            <v>资金措施费</v>
          </cell>
          <cell r="C1198" t="str">
            <v>融资金额</v>
          </cell>
          <cell r="D1198" t="str">
            <v>万元</v>
          </cell>
          <cell r="E1198">
            <v>372446.64</v>
          </cell>
          <cell r="F1198">
            <v>2.3419610189201259E-3</v>
          </cell>
          <cell r="G1198">
            <v>8722555.1250777729</v>
          </cell>
          <cell r="I1198">
            <v>0</v>
          </cell>
          <cell r="J1198">
            <v>2.3419610189201259E-3</v>
          </cell>
          <cell r="K1198">
            <v>0</v>
          </cell>
          <cell r="L1198">
            <v>8722555.1250777729</v>
          </cell>
          <cell r="M1198">
            <v>0</v>
          </cell>
          <cell r="N1198" t="str">
            <v xml:space="preserve">供应链融资，成本年化5.5%，金额约为872万
</v>
          </cell>
          <cell r="O1198" t="str">
            <v>建筑面积</v>
          </cell>
          <cell r="P1198">
            <v>0</v>
          </cell>
          <cell r="Q1198">
            <v>962926.98480680946</v>
          </cell>
          <cell r="R1198">
            <v>84414.071633982778</v>
          </cell>
          <cell r="S1198">
            <v>3620602.5744537008</v>
          </cell>
          <cell r="T1198">
            <v>845880.98933074204</v>
          </cell>
          <cell r="U1198">
            <v>0</v>
          </cell>
          <cell r="V1198">
            <v>0</v>
          </cell>
          <cell r="W1198">
            <v>0</v>
          </cell>
          <cell r="X1198">
            <v>0</v>
          </cell>
          <cell r="Y1198">
            <v>0</v>
          </cell>
          <cell r="Z1198">
            <v>0</v>
          </cell>
          <cell r="AA1198">
            <v>0</v>
          </cell>
          <cell r="AB1198">
            <v>72210.497548317158</v>
          </cell>
          <cell r="AC1198">
            <v>0</v>
          </cell>
          <cell r="AD1198">
            <v>0</v>
          </cell>
          <cell r="AE1198">
            <v>0</v>
          </cell>
          <cell r="AF1198">
            <v>0</v>
          </cell>
          <cell r="AG1198">
            <v>2797130.6688271286</v>
          </cell>
          <cell r="AH1198">
            <v>339389.33847709064</v>
          </cell>
          <cell r="AI1198">
            <v>0</v>
          </cell>
          <cell r="AJ1198">
            <v>0</v>
          </cell>
          <cell r="AK1198">
            <v>0</v>
          </cell>
          <cell r="AL1198">
            <v>0</v>
          </cell>
          <cell r="AM1198">
            <v>0</v>
          </cell>
          <cell r="AN1198">
            <v>0</v>
          </cell>
          <cell r="AO1198">
            <v>0</v>
          </cell>
          <cell r="AP1198">
            <v>0</v>
          </cell>
          <cell r="AQ1198">
            <v>0</v>
          </cell>
          <cell r="AR1198">
            <v>8722555.1250777729</v>
          </cell>
          <cell r="AS1198">
            <v>0</v>
          </cell>
        </row>
        <row r="1199">
          <cell r="A1199" t="str">
            <v>11</v>
          </cell>
          <cell r="B1199" t="str">
            <v>管理费用</v>
          </cell>
          <cell r="C1199" t="str">
            <v>销售收入</v>
          </cell>
          <cell r="D1199" t="str">
            <v>万元</v>
          </cell>
          <cell r="E1199">
            <v>372446.64</v>
          </cell>
          <cell r="F1199">
            <v>4.3409576577197739E-3</v>
          </cell>
          <cell r="G1199">
            <v>16167750.940000001</v>
          </cell>
          <cell r="I1199">
            <v>0</v>
          </cell>
          <cell r="J1199">
            <v>4.3409576577197739E-3</v>
          </cell>
          <cell r="K1199">
            <v>0</v>
          </cell>
          <cell r="L1199">
            <v>16167750.940000001</v>
          </cell>
          <cell r="M1199">
            <v>0</v>
          </cell>
          <cell r="P1199">
            <v>0</v>
          </cell>
          <cell r="Q1199">
            <v>1857098.3874189283</v>
          </cell>
          <cell r="R1199">
            <v>162800.75102307665</v>
          </cell>
          <cell r="S1199">
            <v>6982684.3660963327</v>
          </cell>
          <cell r="T1199">
            <v>1631363.7960303011</v>
          </cell>
          <cell r="U1199">
            <v>0</v>
          </cell>
          <cell r="V1199">
            <v>0</v>
          </cell>
          <cell r="W1199">
            <v>0</v>
          </cell>
          <cell r="X1199">
            <v>0</v>
          </cell>
          <cell r="Y1199">
            <v>0</v>
          </cell>
          <cell r="Z1199">
            <v>0</v>
          </cell>
          <cell r="AA1199">
            <v>0</v>
          </cell>
          <cell r="AB1199">
            <v>139264.97093505273</v>
          </cell>
          <cell r="AC1199">
            <v>0</v>
          </cell>
          <cell r="AD1199">
            <v>0</v>
          </cell>
          <cell r="AE1199">
            <v>0</v>
          </cell>
          <cell r="AF1199">
            <v>0</v>
          </cell>
          <cell r="AG1199">
            <v>5394538.668496307</v>
          </cell>
          <cell r="AH1199">
            <v>0</v>
          </cell>
          <cell r="AI1199">
            <v>0</v>
          </cell>
          <cell r="AJ1199">
            <v>0</v>
          </cell>
          <cell r="AK1199">
            <v>0</v>
          </cell>
          <cell r="AL1199">
            <v>0</v>
          </cell>
          <cell r="AM1199">
            <v>0</v>
          </cell>
          <cell r="AN1199">
            <v>0</v>
          </cell>
          <cell r="AO1199">
            <v>0</v>
          </cell>
          <cell r="AP1199">
            <v>0</v>
          </cell>
          <cell r="AQ1199">
            <v>0</v>
          </cell>
          <cell r="AR1199">
            <v>16167750.939999999</v>
          </cell>
          <cell r="AS1199">
            <v>0</v>
          </cell>
        </row>
        <row r="1200">
          <cell r="A1200" t="str">
            <v>11.01</v>
          </cell>
          <cell r="B1200" t="str">
            <v>一般管理费用</v>
          </cell>
          <cell r="C1200" t="str">
            <v>销售收入</v>
          </cell>
          <cell r="D1200" t="str">
            <v>万元</v>
          </cell>
          <cell r="E1200">
            <v>372446.64</v>
          </cell>
          <cell r="F1200">
            <v>4.3409576577197739E-3</v>
          </cell>
          <cell r="G1200">
            <v>16167750.940000001</v>
          </cell>
          <cell r="I1200">
            <v>0</v>
          </cell>
          <cell r="J1200">
            <v>4.3409576577197739E-3</v>
          </cell>
          <cell r="K1200">
            <v>0</v>
          </cell>
          <cell r="L1200">
            <v>16167750.940000001</v>
          </cell>
          <cell r="M1200">
            <v>0</v>
          </cell>
          <cell r="P1200">
            <v>0</v>
          </cell>
          <cell r="Q1200">
            <v>1857098.3874189283</v>
          </cell>
          <cell r="R1200">
            <v>162800.75102307665</v>
          </cell>
          <cell r="S1200">
            <v>6982684.3660963327</v>
          </cell>
          <cell r="T1200">
            <v>1631363.7960303011</v>
          </cell>
          <cell r="U1200">
            <v>0</v>
          </cell>
          <cell r="V1200">
            <v>0</v>
          </cell>
          <cell r="W1200">
            <v>0</v>
          </cell>
          <cell r="X1200">
            <v>0</v>
          </cell>
          <cell r="Y1200">
            <v>0</v>
          </cell>
          <cell r="Z1200">
            <v>0</v>
          </cell>
          <cell r="AA1200">
            <v>0</v>
          </cell>
          <cell r="AB1200">
            <v>139264.97093505273</v>
          </cell>
          <cell r="AC1200">
            <v>0</v>
          </cell>
          <cell r="AD1200">
            <v>0</v>
          </cell>
          <cell r="AE1200">
            <v>0</v>
          </cell>
          <cell r="AF1200">
            <v>0</v>
          </cell>
          <cell r="AG1200">
            <v>5394538.668496307</v>
          </cell>
          <cell r="AH1200">
            <v>0</v>
          </cell>
          <cell r="AI1200">
            <v>0</v>
          </cell>
          <cell r="AJ1200">
            <v>0</v>
          </cell>
          <cell r="AK1200">
            <v>0</v>
          </cell>
          <cell r="AL1200">
            <v>0</v>
          </cell>
          <cell r="AM1200">
            <v>0</v>
          </cell>
          <cell r="AN1200">
            <v>0</v>
          </cell>
          <cell r="AO1200">
            <v>0</v>
          </cell>
          <cell r="AP1200">
            <v>0</v>
          </cell>
          <cell r="AQ1200">
            <v>0</v>
          </cell>
          <cell r="AR1200">
            <v>16167750.939999999</v>
          </cell>
          <cell r="AS1200">
            <v>0</v>
          </cell>
        </row>
        <row r="1201">
          <cell r="B1201" t="str">
            <v>项目管理费用</v>
          </cell>
          <cell r="C1201" t="str">
            <v>可售面积</v>
          </cell>
          <cell r="D1201" t="str">
            <v>m2</v>
          </cell>
          <cell r="E1201">
            <v>154715.32</v>
          </cell>
          <cell r="F1201">
            <v>24.5</v>
          </cell>
          <cell r="G1201">
            <v>3790525.3400000003</v>
          </cell>
          <cell r="I1201">
            <v>0</v>
          </cell>
          <cell r="J1201">
            <v>24.5</v>
          </cell>
          <cell r="L1201">
            <v>3790525.3400000003</v>
          </cell>
          <cell r="M1201">
            <v>0</v>
          </cell>
          <cell r="N1201" t="str">
            <v>主要费用包括：财务人员工资、福利、办公费用、业务招待费、差旅费及折旧摊销等费用</v>
          </cell>
          <cell r="O1201" t="str">
            <v>可售面积</v>
          </cell>
          <cell r="P1201">
            <v>0</v>
          </cell>
          <cell r="Q1201">
            <v>435396.27264845686</v>
          </cell>
          <cell r="R1201">
            <v>38168.597129812231</v>
          </cell>
          <cell r="S1201">
            <v>1637088.6791326329</v>
          </cell>
          <cell r="T1201">
            <v>382472.85170088406</v>
          </cell>
          <cell r="U1201">
            <v>0</v>
          </cell>
          <cell r="V1201">
            <v>0</v>
          </cell>
          <cell r="W1201">
            <v>0</v>
          </cell>
          <cell r="X1201">
            <v>0</v>
          </cell>
          <cell r="Y1201">
            <v>0</v>
          </cell>
          <cell r="Z1201">
            <v>0</v>
          </cell>
          <cell r="AA1201">
            <v>0</v>
          </cell>
          <cell r="AB1201">
            <v>32650.639118744421</v>
          </cell>
          <cell r="AC1201">
            <v>0</v>
          </cell>
          <cell r="AD1201">
            <v>0</v>
          </cell>
          <cell r="AE1201">
            <v>0</v>
          </cell>
          <cell r="AF1201">
            <v>0</v>
          </cell>
          <cell r="AG1201">
            <v>1264748.3002694689</v>
          </cell>
          <cell r="AH1201">
            <v>0</v>
          </cell>
          <cell r="AI1201">
            <v>0</v>
          </cell>
          <cell r="AJ1201">
            <v>0</v>
          </cell>
          <cell r="AK1201">
            <v>0</v>
          </cell>
          <cell r="AL1201">
            <v>0</v>
          </cell>
          <cell r="AM1201">
            <v>0</v>
          </cell>
          <cell r="AN1201">
            <v>0</v>
          </cell>
          <cell r="AO1201">
            <v>0</v>
          </cell>
          <cell r="AP1201">
            <v>0</v>
          </cell>
          <cell r="AQ1201">
            <v>0</v>
          </cell>
          <cell r="AR1201">
            <v>3790525.34</v>
          </cell>
          <cell r="AS1201">
            <v>0</v>
          </cell>
        </row>
        <row r="1202">
          <cell r="B1202" t="str">
            <v>区域平台管理费用</v>
          </cell>
          <cell r="C1202" t="str">
            <v>可售面积</v>
          </cell>
          <cell r="D1202" t="str">
            <v>m2</v>
          </cell>
          <cell r="E1202">
            <v>154715.32</v>
          </cell>
          <cell r="F1202">
            <v>50</v>
          </cell>
          <cell r="G1202">
            <v>7735766</v>
          </cell>
          <cell r="I1202">
            <v>0</v>
          </cell>
          <cell r="J1202">
            <v>50</v>
          </cell>
          <cell r="L1202">
            <v>7735766</v>
          </cell>
          <cell r="M1202">
            <v>0</v>
          </cell>
          <cell r="N1202" t="str">
            <v>区域平台的管理费用按可售面分摊是50元/㎡</v>
          </cell>
          <cell r="O1202" t="str">
            <v>可售面积</v>
          </cell>
          <cell r="P1202">
            <v>0</v>
          </cell>
          <cell r="Q1202">
            <v>888563.82173154468</v>
          </cell>
          <cell r="R1202">
            <v>77895.096183290269</v>
          </cell>
          <cell r="S1202">
            <v>3340997.3043523123</v>
          </cell>
          <cell r="T1202">
            <v>780556.84020588582</v>
          </cell>
          <cell r="U1202">
            <v>0</v>
          </cell>
          <cell r="V1202">
            <v>0</v>
          </cell>
          <cell r="W1202">
            <v>0</v>
          </cell>
          <cell r="X1202">
            <v>0</v>
          </cell>
          <cell r="Y1202">
            <v>0</v>
          </cell>
          <cell r="Z1202">
            <v>0</v>
          </cell>
          <cell r="AA1202">
            <v>0</v>
          </cell>
          <cell r="AB1202">
            <v>66633.957385192698</v>
          </cell>
          <cell r="AC1202">
            <v>0</v>
          </cell>
          <cell r="AD1202">
            <v>0</v>
          </cell>
          <cell r="AE1202">
            <v>0</v>
          </cell>
          <cell r="AF1202">
            <v>0</v>
          </cell>
          <cell r="AG1202">
            <v>2581118.9801417738</v>
          </cell>
          <cell r="AH1202">
            <v>0</v>
          </cell>
          <cell r="AI1202">
            <v>0</v>
          </cell>
          <cell r="AJ1202">
            <v>0</v>
          </cell>
          <cell r="AK1202">
            <v>0</v>
          </cell>
          <cell r="AL1202">
            <v>0</v>
          </cell>
          <cell r="AM1202">
            <v>0</v>
          </cell>
          <cell r="AN1202">
            <v>0</v>
          </cell>
          <cell r="AO1202">
            <v>0</v>
          </cell>
          <cell r="AP1202">
            <v>0</v>
          </cell>
          <cell r="AQ1202">
            <v>0</v>
          </cell>
          <cell r="AR1202">
            <v>7735765.9999999991</v>
          </cell>
          <cell r="AS1202">
            <v>0</v>
          </cell>
        </row>
        <row r="1203">
          <cell r="B1203" t="str">
            <v>集团平台管理费用</v>
          </cell>
          <cell r="C1203" t="str">
            <v>可售面积</v>
          </cell>
          <cell r="D1203" t="str">
            <v>m2</v>
          </cell>
          <cell r="E1203">
            <v>154715.32</v>
          </cell>
          <cell r="F1203">
            <v>30</v>
          </cell>
          <cell r="G1203">
            <v>4641459.6000000006</v>
          </cell>
          <cell r="I1203">
            <v>0</v>
          </cell>
          <cell r="J1203">
            <v>30</v>
          </cell>
          <cell r="L1203">
            <v>4641459.6000000006</v>
          </cell>
          <cell r="M1203">
            <v>0</v>
          </cell>
          <cell r="N1203" t="str">
            <v>集团平台的管理费用按可售面分摊是30元/㎡</v>
          </cell>
          <cell r="O1203" t="str">
            <v>可售面积</v>
          </cell>
          <cell r="P1203">
            <v>0</v>
          </cell>
          <cell r="Q1203">
            <v>533138.29303892679</v>
          </cell>
          <cell r="R1203">
            <v>46737.057709974164</v>
          </cell>
          <cell r="S1203">
            <v>2004598.3826113874</v>
          </cell>
          <cell r="T1203">
            <v>468334.10412353149</v>
          </cell>
          <cell r="U1203">
            <v>0</v>
          </cell>
          <cell r="V1203">
            <v>0</v>
          </cell>
          <cell r="W1203">
            <v>0</v>
          </cell>
          <cell r="X1203">
            <v>0</v>
          </cell>
          <cell r="Y1203">
            <v>0</v>
          </cell>
          <cell r="Z1203">
            <v>0</v>
          </cell>
          <cell r="AA1203">
            <v>0</v>
          </cell>
          <cell r="AB1203">
            <v>39980.374431115619</v>
          </cell>
          <cell r="AC1203">
            <v>0</v>
          </cell>
          <cell r="AD1203">
            <v>0</v>
          </cell>
          <cell r="AE1203">
            <v>0</v>
          </cell>
          <cell r="AF1203">
            <v>0</v>
          </cell>
          <cell r="AG1203">
            <v>1548671.3880850642</v>
          </cell>
          <cell r="AH1203">
            <v>0</v>
          </cell>
          <cell r="AI1203">
            <v>0</v>
          </cell>
          <cell r="AJ1203">
            <v>0</v>
          </cell>
          <cell r="AK1203">
            <v>0</v>
          </cell>
          <cell r="AL1203">
            <v>0</v>
          </cell>
          <cell r="AM1203">
            <v>0</v>
          </cell>
          <cell r="AN1203">
            <v>0</v>
          </cell>
          <cell r="AO1203">
            <v>0</v>
          </cell>
          <cell r="AP1203">
            <v>0</v>
          </cell>
          <cell r="AQ1203">
            <v>0</v>
          </cell>
          <cell r="AR1203">
            <v>4641459.5999999996</v>
          </cell>
          <cell r="AS1203">
            <v>0</v>
          </cell>
        </row>
        <row r="1204">
          <cell r="A1204" t="str">
            <v>11.02</v>
          </cell>
          <cell r="B1204" t="str">
            <v>各类奖金</v>
          </cell>
          <cell r="G1204">
            <v>0</v>
          </cell>
          <cell r="I1204">
            <v>0</v>
          </cell>
          <cell r="L1204">
            <v>0</v>
          </cell>
        </row>
        <row r="1205">
          <cell r="A1205" t="str">
            <v>12</v>
          </cell>
          <cell r="B1205" t="str">
            <v>税金</v>
          </cell>
          <cell r="C1205" t="str">
            <v>销售收入</v>
          </cell>
          <cell r="D1205" t="str">
            <v>万元</v>
          </cell>
          <cell r="E1205">
            <v>372446.64</v>
          </cell>
          <cell r="F1205">
            <v>0.26245489987862464</v>
          </cell>
          <cell r="G1205">
            <v>977504456.11330152</v>
          </cell>
          <cell r="I1205">
            <v>0.3507304555101689</v>
          </cell>
          <cell r="J1205">
            <v>0.19430590226789238</v>
          </cell>
          <cell r="L1205">
            <v>723685804.3184489</v>
          </cell>
          <cell r="P1205">
            <v>0</v>
          </cell>
          <cell r="Q1205">
            <v>197705578.80710766</v>
          </cell>
          <cell r="R1205">
            <v>17331670.163142771</v>
          </cell>
          <cell r="S1205">
            <v>383744193.50944471</v>
          </cell>
          <cell r="T1205">
            <v>89654114.579166353</v>
          </cell>
          <cell r="U1205">
            <v>0</v>
          </cell>
          <cell r="V1205">
            <v>0</v>
          </cell>
          <cell r="W1205">
            <v>0</v>
          </cell>
          <cell r="X1205">
            <v>0</v>
          </cell>
          <cell r="Y1205">
            <v>0</v>
          </cell>
          <cell r="Z1205">
            <v>0</v>
          </cell>
          <cell r="AA1205">
            <v>0</v>
          </cell>
          <cell r="AB1205">
            <v>16619201.100145018</v>
          </cell>
          <cell r="AC1205">
            <v>0</v>
          </cell>
          <cell r="AD1205">
            <v>0</v>
          </cell>
          <cell r="AE1205">
            <v>0</v>
          </cell>
          <cell r="AF1205">
            <v>0</v>
          </cell>
          <cell r="AG1205">
            <v>18631046.159442265</v>
          </cell>
          <cell r="AH1205">
            <v>0</v>
          </cell>
          <cell r="AI1205">
            <v>0</v>
          </cell>
          <cell r="AJ1205">
            <v>0</v>
          </cell>
          <cell r="AK1205">
            <v>0</v>
          </cell>
          <cell r="AL1205">
            <v>0</v>
          </cell>
          <cell r="AM1205">
            <v>0</v>
          </cell>
          <cell r="AN1205">
            <v>0</v>
          </cell>
          <cell r="AO1205">
            <v>0</v>
          </cell>
          <cell r="AP1205">
            <v>0</v>
          </cell>
          <cell r="AQ1205">
            <v>0</v>
          </cell>
          <cell r="AR1205">
            <v>723685804.31844878</v>
          </cell>
          <cell r="AS1205">
            <v>0</v>
          </cell>
        </row>
        <row r="1206">
          <cell r="A1206" t="str">
            <v>12.01</v>
          </cell>
          <cell r="B1206" t="str">
            <v>主营业务税金及附加</v>
          </cell>
          <cell r="C1206" t="str">
            <v>销售收入</v>
          </cell>
          <cell r="D1206" t="str">
            <v>万元</v>
          </cell>
          <cell r="E1206">
            <v>372446.64</v>
          </cell>
          <cell r="F1206">
            <v>8.3141305103025281E-2</v>
          </cell>
          <cell r="G1206">
            <v>309656997.30836624</v>
          </cell>
          <cell r="I1206">
            <v>4.5455976437092955</v>
          </cell>
          <cell r="J1206">
            <v>1.4992307492293E-2</v>
          </cell>
          <cell r="L1206">
            <v>55838345.513513543</v>
          </cell>
          <cell r="O1206" t="str">
            <v>可售面积</v>
          </cell>
          <cell r="P1206">
            <v>0</v>
          </cell>
          <cell r="Q1206">
            <v>6413835.9004982878</v>
          </cell>
          <cell r="R1206">
            <v>562262.77972872136</v>
          </cell>
          <cell r="S1206">
            <v>24116003.746770751</v>
          </cell>
          <cell r="T1206">
            <v>5634219.3567324337</v>
          </cell>
          <cell r="U1206">
            <v>0</v>
          </cell>
          <cell r="V1206">
            <v>0</v>
          </cell>
          <cell r="W1206">
            <v>0</v>
          </cell>
          <cell r="X1206">
            <v>0</v>
          </cell>
          <cell r="Y1206">
            <v>0</v>
          </cell>
          <cell r="Z1206">
            <v>0</v>
          </cell>
          <cell r="AA1206">
            <v>0</v>
          </cell>
          <cell r="AB1206">
            <v>480977.57034107897</v>
          </cell>
          <cell r="AC1206">
            <v>0</v>
          </cell>
          <cell r="AD1206">
            <v>0</v>
          </cell>
          <cell r="AE1206">
            <v>0</v>
          </cell>
          <cell r="AF1206">
            <v>0</v>
          </cell>
          <cell r="AG1206">
            <v>18631046.159442265</v>
          </cell>
          <cell r="AH1206">
            <v>0</v>
          </cell>
          <cell r="AI1206">
            <v>0</v>
          </cell>
          <cell r="AJ1206">
            <v>0</v>
          </cell>
          <cell r="AK1206">
            <v>0</v>
          </cell>
          <cell r="AL1206">
            <v>0</v>
          </cell>
          <cell r="AM1206">
            <v>0</v>
          </cell>
          <cell r="AN1206">
            <v>0</v>
          </cell>
          <cell r="AO1206">
            <v>0</v>
          </cell>
          <cell r="AP1206">
            <v>0</v>
          </cell>
          <cell r="AQ1206">
            <v>0</v>
          </cell>
          <cell r="AR1206">
            <v>55838345.513513535</v>
          </cell>
          <cell r="AS1206">
            <v>0</v>
          </cell>
        </row>
        <row r="1207">
          <cell r="A1207" t="str">
            <v>12.02</v>
          </cell>
          <cell r="B1207" t="str">
            <v>土地增值税</v>
          </cell>
          <cell r="C1207" t="str">
            <v>销售收入</v>
          </cell>
          <cell r="D1207" t="str">
            <v>万元</v>
          </cell>
          <cell r="E1207">
            <v>372446.64</v>
          </cell>
          <cell r="F1207">
            <v>0.17931359477559933</v>
          </cell>
          <cell r="G1207">
            <v>667847458.80493534</v>
          </cell>
          <cell r="I1207">
            <v>0</v>
          </cell>
          <cell r="J1207">
            <v>0.17931359477559933</v>
          </cell>
          <cell r="L1207">
            <v>667847458.80493534</v>
          </cell>
          <cell r="O1207" t="str">
            <v>可售面积</v>
          </cell>
          <cell r="P1207">
            <v>0</v>
          </cell>
          <cell r="Q1207">
            <v>191291742.90660936</v>
          </cell>
          <cell r="R1207">
            <v>16769407.383414051</v>
          </cell>
          <cell r="S1207">
            <v>359628189.76267397</v>
          </cell>
          <cell r="T1207">
            <v>84019895.222433925</v>
          </cell>
          <cell r="U1207">
            <v>0</v>
          </cell>
          <cell r="V1207">
            <v>0</v>
          </cell>
          <cell r="W1207">
            <v>0</v>
          </cell>
          <cell r="X1207">
            <v>0</v>
          </cell>
          <cell r="Y1207">
            <v>0</v>
          </cell>
          <cell r="Z1207">
            <v>0</v>
          </cell>
          <cell r="AA1207">
            <v>0</v>
          </cell>
          <cell r="AB1207">
            <v>16138223.529803939</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667847458.80493534</v>
          </cell>
          <cell r="AS1207">
            <v>0</v>
          </cell>
        </row>
        <row r="1208">
          <cell r="A1208" t="str">
            <v>13</v>
          </cell>
          <cell r="B1208" t="str">
            <v>所得税</v>
          </cell>
          <cell r="C1208" t="str">
            <v>可售面积</v>
          </cell>
          <cell r="D1208" t="str">
            <v>m2</v>
          </cell>
          <cell r="E1208">
            <v>154715.32</v>
          </cell>
          <cell r="F1208">
            <v>2018.30172200989</v>
          </cell>
          <cell r="G1208">
            <v>312262196.77731121</v>
          </cell>
          <cell r="I1208">
            <v>0</v>
          </cell>
          <cell r="J1208">
            <v>2018.30172200989</v>
          </cell>
          <cell r="L1208">
            <v>312262196.77731121</v>
          </cell>
          <cell r="O1208" t="str">
            <v>各业态利润总额固定比例</v>
          </cell>
          <cell r="P1208">
            <v>0</v>
          </cell>
          <cell r="Q1208">
            <v>107891701.19774106</v>
          </cell>
          <cell r="R1208">
            <v>9600158.7577972878</v>
          </cell>
          <cell r="S1208">
            <v>153743749.27768436</v>
          </cell>
          <cell r="T1208">
            <v>34411525.687259279</v>
          </cell>
          <cell r="U1208">
            <v>0</v>
          </cell>
          <cell r="V1208">
            <v>0</v>
          </cell>
          <cell r="W1208">
            <v>0</v>
          </cell>
          <cell r="X1208">
            <v>0</v>
          </cell>
          <cell r="Y1208">
            <v>0</v>
          </cell>
          <cell r="Z1208">
            <v>0</v>
          </cell>
          <cell r="AA1208">
            <v>0</v>
          </cell>
          <cell r="AB1208">
            <v>11272823.396689769</v>
          </cell>
          <cell r="AC1208">
            <v>0</v>
          </cell>
          <cell r="AD1208">
            <v>0</v>
          </cell>
          <cell r="AE1208">
            <v>0</v>
          </cell>
          <cell r="AF1208">
            <v>0</v>
          </cell>
          <cell r="AG1208">
            <v>-4657761.5398605661</v>
          </cell>
          <cell r="AH1208">
            <v>0</v>
          </cell>
          <cell r="AI1208">
            <v>0</v>
          </cell>
          <cell r="AJ1208">
            <v>0</v>
          </cell>
          <cell r="AK1208">
            <v>0</v>
          </cell>
          <cell r="AL1208">
            <v>0</v>
          </cell>
          <cell r="AM1208">
            <v>0</v>
          </cell>
          <cell r="AN1208">
            <v>0</v>
          </cell>
          <cell r="AO1208">
            <v>0</v>
          </cell>
          <cell r="AP1208">
            <v>0</v>
          </cell>
          <cell r="AQ1208">
            <v>0</v>
          </cell>
          <cell r="AR1208">
            <v>312262196.77731121</v>
          </cell>
          <cell r="AS1208">
            <v>0</v>
          </cell>
        </row>
        <row r="1209">
          <cell r="A1209" t="str">
            <v>14</v>
          </cell>
          <cell r="B1209" t="str">
            <v>总计</v>
          </cell>
          <cell r="C1209" t="str">
            <v>建筑面积</v>
          </cell>
          <cell r="D1209" t="str">
            <v>m2</v>
          </cell>
          <cell r="E1209">
            <v>241586.90000000002</v>
          </cell>
          <cell r="F1209">
            <v>14275.434462525931</v>
          </cell>
          <cell r="G1209">
            <v>3448757957.9548063</v>
          </cell>
          <cell r="J1209">
            <v>12747.655990825417</v>
          </cell>
          <cell r="K1209">
            <v>1527.7784717005143</v>
          </cell>
          <cell r="L1209">
            <v>3079666693.089941</v>
          </cell>
          <cell r="M1209">
            <v>95473026.075417489</v>
          </cell>
          <cell r="P1209">
            <v>0</v>
          </cell>
          <cell r="Q1209">
            <v>839650199.02339029</v>
          </cell>
          <cell r="R1209">
            <v>73181321.908746943</v>
          </cell>
          <cell r="S1209">
            <v>1483702063.9339733</v>
          </cell>
          <cell r="T1209">
            <v>351159982.98960936</v>
          </cell>
          <cell r="U1209">
            <v>0</v>
          </cell>
          <cell r="V1209">
            <v>0</v>
          </cell>
          <cell r="W1209">
            <v>0</v>
          </cell>
          <cell r="X1209">
            <v>0</v>
          </cell>
          <cell r="Y1209">
            <v>0</v>
          </cell>
          <cell r="Z1209">
            <v>0</v>
          </cell>
          <cell r="AA1209">
            <v>0</v>
          </cell>
          <cell r="AB1209">
            <v>55806022.861106038</v>
          </cell>
          <cell r="AC1209">
            <v>0</v>
          </cell>
          <cell r="AD1209">
            <v>0</v>
          </cell>
          <cell r="AE1209">
            <v>0</v>
          </cell>
          <cell r="AF1209">
            <v>0</v>
          </cell>
          <cell r="AG1209">
            <v>241577564.82494766</v>
          </cell>
          <cell r="AH1209">
            <v>34589537.5481674</v>
          </cell>
          <cell r="AI1209">
            <v>0</v>
          </cell>
          <cell r="AJ1209">
            <v>0</v>
          </cell>
          <cell r="AK1209">
            <v>0</v>
          </cell>
          <cell r="AL1209">
            <v>0</v>
          </cell>
          <cell r="AM1209">
            <v>0</v>
          </cell>
          <cell r="AN1209">
            <v>0</v>
          </cell>
          <cell r="AO1209">
            <v>0</v>
          </cell>
          <cell r="AP1209">
            <v>0</v>
          </cell>
          <cell r="AQ1209">
            <v>0</v>
          </cell>
          <cell r="AR1209">
            <v>3079666693.089941</v>
          </cell>
          <cell r="AS1209">
            <v>0</v>
          </cell>
        </row>
        <row r="1210">
          <cell r="B1210" t="str">
            <v>我司土地溢价款</v>
          </cell>
        </row>
        <row r="1212">
          <cell r="B1212" t="str">
            <v>室内精装修工程</v>
          </cell>
        </row>
        <row r="1213">
          <cell r="B1213" t="str">
            <v>室内装修工程</v>
          </cell>
        </row>
        <row r="1214">
          <cell r="B1214" t="str">
            <v>室内装修水电</v>
          </cell>
        </row>
        <row r="1215">
          <cell r="B1215" t="str">
            <v>四大类费用（室内木门，木地板，木扶手，厨柜）</v>
          </cell>
        </row>
        <row r="1217">
          <cell r="B1217" t="str">
            <v>销售应缴增值税额</v>
          </cell>
        </row>
        <row r="1218">
          <cell r="B1218" t="str">
            <v>销项税</v>
          </cell>
        </row>
        <row r="1219">
          <cell r="B1219" t="str">
            <v>可抵扣进项税</v>
          </cell>
        </row>
        <row r="1220">
          <cell r="B1220" t="str">
            <v>期末留抵+转出+留抵预缴</v>
          </cell>
        </row>
        <row r="1221">
          <cell r="B1221" t="str">
            <v>应缴增值税</v>
          </cell>
        </row>
        <row r="1222">
          <cell r="B1222" t="str">
            <v>增值税表数据</v>
          </cell>
        </row>
        <row r="1223">
          <cell r="B1223" t="str">
            <v>差异</v>
          </cell>
        </row>
      </sheetData>
      <sheetData sheetId="11"/>
      <sheetData sheetId="12"/>
      <sheetData sheetId="13">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11750.539707557766</v>
          </cell>
          <cell r="G162">
            <v>11750.539707557762</v>
          </cell>
          <cell r="H162">
            <v>3822.8082731312575</v>
          </cell>
          <cell r="I162">
            <v>3822.8082731312584</v>
          </cell>
          <cell r="J162">
            <v>0</v>
          </cell>
          <cell r="K162">
            <v>0</v>
          </cell>
          <cell r="L162">
            <v>0</v>
          </cell>
          <cell r="M162">
            <v>0</v>
          </cell>
          <cell r="N162">
            <v>0</v>
          </cell>
          <cell r="O162">
            <v>0</v>
          </cell>
          <cell r="P162">
            <v>0</v>
          </cell>
          <cell r="Q162">
            <v>7520.3454128369685</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2551.9163152395804</v>
          </cell>
          <cell r="G164">
            <v>2551.9163152395799</v>
          </cell>
          <cell r="H164">
            <v>830.21606198751238</v>
          </cell>
          <cell r="I164">
            <v>830.21606198751249</v>
          </cell>
          <cell r="J164">
            <v>0</v>
          </cell>
          <cell r="K164">
            <v>0</v>
          </cell>
          <cell r="L164">
            <v>0</v>
          </cell>
          <cell r="M164">
            <v>0</v>
          </cell>
          <cell r="N164">
            <v>0</v>
          </cell>
          <cell r="O164">
            <v>0</v>
          </cell>
          <cell r="P164">
            <v>0</v>
          </cell>
          <cell r="Q164">
            <v>1633.2264417533313</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544.18750084920725</v>
          </cell>
          <cell r="G169">
            <v>544.18750084920714</v>
          </cell>
          <cell r="H169">
            <v>316.34735143468652</v>
          </cell>
          <cell r="I169">
            <v>316.34735143468652</v>
          </cell>
          <cell r="J169">
            <v>0</v>
          </cell>
          <cell r="K169">
            <v>0</v>
          </cell>
          <cell r="L169">
            <v>0</v>
          </cell>
          <cell r="M169">
            <v>0</v>
          </cell>
          <cell r="N169">
            <v>0</v>
          </cell>
          <cell r="O169">
            <v>0</v>
          </cell>
          <cell r="P169">
            <v>0</v>
          </cell>
          <cell r="Q169">
            <v>422.61323863640541</v>
          </cell>
          <cell r="R169">
            <v>0</v>
          </cell>
          <cell r="S169">
            <v>0</v>
          </cell>
          <cell r="T169">
            <v>0</v>
          </cell>
          <cell r="U169">
            <v>0</v>
          </cell>
          <cell r="V169">
            <v>206.48121692475794</v>
          </cell>
          <cell r="W169">
            <v>206.48121692475792</v>
          </cell>
          <cell r="X169">
            <v>0</v>
          </cell>
          <cell r="Y169">
            <v>0</v>
          </cell>
          <cell r="Z169">
            <v>0</v>
          </cell>
          <cell r="AA169">
            <v>0</v>
          </cell>
          <cell r="AB169">
            <v>0</v>
          </cell>
          <cell r="AC169">
            <v>0</v>
          </cell>
          <cell r="AD169">
            <v>0</v>
          </cell>
          <cell r="AE169">
            <v>0</v>
          </cell>
          <cell r="AF169">
            <v>0</v>
          </cell>
        </row>
        <row r="170">
          <cell r="E170">
            <v>0</v>
          </cell>
          <cell r="F170">
            <v>114.52934899471482</v>
          </cell>
          <cell r="G170">
            <v>114.52934899471478</v>
          </cell>
          <cell r="H170">
            <v>114.52934899471481</v>
          </cell>
          <cell r="I170">
            <v>114.52934899471479</v>
          </cell>
          <cell r="J170">
            <v>0</v>
          </cell>
          <cell r="K170">
            <v>0</v>
          </cell>
          <cell r="L170">
            <v>0</v>
          </cell>
          <cell r="M170">
            <v>0</v>
          </cell>
          <cell r="N170">
            <v>0</v>
          </cell>
          <cell r="O170">
            <v>0</v>
          </cell>
          <cell r="P170">
            <v>0</v>
          </cell>
          <cell r="Q170">
            <v>114.52934899471481</v>
          </cell>
          <cell r="R170">
            <v>0</v>
          </cell>
          <cell r="S170">
            <v>0</v>
          </cell>
          <cell r="T170">
            <v>0</v>
          </cell>
          <cell r="U170">
            <v>0</v>
          </cell>
          <cell r="V170">
            <v>114.52934899471478</v>
          </cell>
          <cell r="W170">
            <v>114.52934899471479</v>
          </cell>
          <cell r="X170">
            <v>0</v>
          </cell>
          <cell r="Y170">
            <v>0</v>
          </cell>
          <cell r="Z170">
            <v>0</v>
          </cell>
          <cell r="AA170">
            <v>0</v>
          </cell>
          <cell r="AB170">
            <v>0</v>
          </cell>
          <cell r="AC170">
            <v>0</v>
          </cell>
          <cell r="AD170">
            <v>0</v>
          </cell>
          <cell r="AE170">
            <v>0</v>
          </cell>
          <cell r="AF170">
            <v>0</v>
          </cell>
        </row>
        <row r="171">
          <cell r="E171">
            <v>0</v>
          </cell>
          <cell r="F171">
            <v>93.826723547003937</v>
          </cell>
          <cell r="G171">
            <v>93.826723547003908</v>
          </cell>
          <cell r="H171">
            <v>93.826723547003908</v>
          </cell>
          <cell r="I171">
            <v>93.826723547003908</v>
          </cell>
          <cell r="J171">
            <v>0</v>
          </cell>
          <cell r="K171">
            <v>0</v>
          </cell>
          <cell r="L171">
            <v>0</v>
          </cell>
          <cell r="M171">
            <v>0</v>
          </cell>
          <cell r="N171">
            <v>0</v>
          </cell>
          <cell r="O171">
            <v>0</v>
          </cell>
          <cell r="P171">
            <v>0</v>
          </cell>
          <cell r="Q171">
            <v>93.826723547003922</v>
          </cell>
          <cell r="R171">
            <v>0</v>
          </cell>
          <cell r="S171">
            <v>0</v>
          </cell>
          <cell r="T171">
            <v>0</v>
          </cell>
          <cell r="U171">
            <v>0</v>
          </cell>
          <cell r="V171">
            <v>93.826723547003922</v>
          </cell>
          <cell r="W171">
            <v>93.826723547003937</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65.50313666377474</v>
          </cell>
          <cell r="G177">
            <v>65.503136663774754</v>
          </cell>
          <cell r="H177">
            <v>65.50313666377474</v>
          </cell>
          <cell r="I177">
            <v>65.50313666377474</v>
          </cell>
          <cell r="J177">
            <v>0</v>
          </cell>
          <cell r="K177">
            <v>0</v>
          </cell>
          <cell r="L177">
            <v>0</v>
          </cell>
          <cell r="M177">
            <v>0</v>
          </cell>
          <cell r="N177">
            <v>0</v>
          </cell>
          <cell r="O177">
            <v>0</v>
          </cell>
          <cell r="P177">
            <v>0</v>
          </cell>
          <cell r="Q177">
            <v>65.50313666377474</v>
          </cell>
          <cell r="R177">
            <v>0</v>
          </cell>
          <cell r="S177">
            <v>0</v>
          </cell>
          <cell r="T177">
            <v>0</v>
          </cell>
          <cell r="U177">
            <v>0</v>
          </cell>
          <cell r="V177">
            <v>65.50313666377474</v>
          </cell>
          <cell r="W177">
            <v>65.50313666377474</v>
          </cell>
          <cell r="X177">
            <v>0</v>
          </cell>
          <cell r="Y177">
            <v>0</v>
          </cell>
          <cell r="Z177">
            <v>0</v>
          </cell>
          <cell r="AA177">
            <v>0</v>
          </cell>
          <cell r="AB177">
            <v>0</v>
          </cell>
          <cell r="AC177">
            <v>0</v>
          </cell>
          <cell r="AD177">
            <v>0</v>
          </cell>
          <cell r="AE177">
            <v>0</v>
          </cell>
          <cell r="AF177">
            <v>0</v>
          </cell>
        </row>
        <row r="178">
          <cell r="E178">
            <v>0</v>
          </cell>
          <cell r="F178">
            <v>20.702625447710883</v>
          </cell>
          <cell r="G178">
            <v>20.702625447710886</v>
          </cell>
          <cell r="H178">
            <v>20.702625447710883</v>
          </cell>
          <cell r="I178">
            <v>20.702625447710883</v>
          </cell>
          <cell r="J178">
            <v>0</v>
          </cell>
          <cell r="K178">
            <v>0</v>
          </cell>
          <cell r="L178">
            <v>0</v>
          </cell>
          <cell r="M178">
            <v>0</v>
          </cell>
          <cell r="N178">
            <v>0</v>
          </cell>
          <cell r="O178">
            <v>0</v>
          </cell>
          <cell r="P178">
            <v>0</v>
          </cell>
          <cell r="Q178">
            <v>20.702625447710886</v>
          </cell>
          <cell r="R178">
            <v>0</v>
          </cell>
          <cell r="S178">
            <v>0</v>
          </cell>
          <cell r="T178">
            <v>0</v>
          </cell>
          <cell r="U178">
            <v>0</v>
          </cell>
          <cell r="V178">
            <v>20.702625447710883</v>
          </cell>
          <cell r="W178">
            <v>20.702625447710883</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429.65815185449242</v>
          </cell>
          <cell r="G180">
            <v>429.65815185449242</v>
          </cell>
          <cell r="H180">
            <v>201.81800243997168</v>
          </cell>
          <cell r="I180">
            <v>201.81800243997176</v>
          </cell>
          <cell r="J180">
            <v>0</v>
          </cell>
          <cell r="K180">
            <v>0</v>
          </cell>
          <cell r="L180">
            <v>0</v>
          </cell>
          <cell r="M180">
            <v>0</v>
          </cell>
          <cell r="N180">
            <v>0</v>
          </cell>
          <cell r="O180">
            <v>0</v>
          </cell>
          <cell r="P180">
            <v>0</v>
          </cell>
          <cell r="Q180">
            <v>308.08388964169069</v>
          </cell>
          <cell r="R180">
            <v>0</v>
          </cell>
          <cell r="S180">
            <v>0</v>
          </cell>
          <cell r="T180">
            <v>0</v>
          </cell>
          <cell r="U180">
            <v>0</v>
          </cell>
          <cell r="V180">
            <v>91.951867930043164</v>
          </cell>
          <cell r="W180">
            <v>91.95186793004315</v>
          </cell>
          <cell r="X180">
            <v>0</v>
          </cell>
          <cell r="Y180">
            <v>0</v>
          </cell>
          <cell r="Z180">
            <v>0</v>
          </cell>
          <cell r="AA180">
            <v>0</v>
          </cell>
          <cell r="AB180">
            <v>0</v>
          </cell>
          <cell r="AC180">
            <v>0</v>
          </cell>
          <cell r="AD180">
            <v>0</v>
          </cell>
          <cell r="AE180">
            <v>0</v>
          </cell>
          <cell r="AF180">
            <v>0</v>
          </cell>
        </row>
        <row r="181">
          <cell r="E181">
            <v>0</v>
          </cell>
          <cell r="F181">
            <v>7.4346036705091434</v>
          </cell>
          <cell r="G181">
            <v>7.4346036705091434</v>
          </cell>
          <cell r="H181">
            <v>7.4346036705091434</v>
          </cell>
          <cell r="I181">
            <v>7.4346036705091425</v>
          </cell>
          <cell r="J181">
            <v>0</v>
          </cell>
          <cell r="K181">
            <v>0</v>
          </cell>
          <cell r="L181">
            <v>0</v>
          </cell>
          <cell r="M181">
            <v>0</v>
          </cell>
          <cell r="N181">
            <v>0</v>
          </cell>
          <cell r="O181">
            <v>0</v>
          </cell>
          <cell r="P181">
            <v>0</v>
          </cell>
          <cell r="Q181">
            <v>7.4346036705091416</v>
          </cell>
          <cell r="R181">
            <v>0</v>
          </cell>
          <cell r="S181">
            <v>0</v>
          </cell>
          <cell r="T181">
            <v>0</v>
          </cell>
          <cell r="U181">
            <v>0</v>
          </cell>
          <cell r="V181">
            <v>7.4346036705091416</v>
          </cell>
          <cell r="W181">
            <v>7.4346036705091434</v>
          </cell>
          <cell r="X181">
            <v>0</v>
          </cell>
          <cell r="Y181">
            <v>0</v>
          </cell>
          <cell r="Z181">
            <v>0</v>
          </cell>
          <cell r="AA181">
            <v>0</v>
          </cell>
          <cell r="AB181">
            <v>0</v>
          </cell>
          <cell r="AC181">
            <v>0</v>
          </cell>
          <cell r="AD181">
            <v>0</v>
          </cell>
          <cell r="AE181">
            <v>0</v>
          </cell>
          <cell r="AF181">
            <v>0</v>
          </cell>
        </row>
        <row r="182">
          <cell r="E182">
            <v>0</v>
          </cell>
          <cell r="F182">
            <v>337.70628392444922</v>
          </cell>
          <cell r="G182">
            <v>337.70628392444917</v>
          </cell>
          <cell r="H182">
            <v>109.86613450992854</v>
          </cell>
          <cell r="I182">
            <v>109.86613450992856</v>
          </cell>
          <cell r="J182">
            <v>0</v>
          </cell>
          <cell r="K182">
            <v>0</v>
          </cell>
          <cell r="L182">
            <v>0</v>
          </cell>
          <cell r="M182">
            <v>0</v>
          </cell>
          <cell r="N182">
            <v>0</v>
          </cell>
          <cell r="O182">
            <v>0</v>
          </cell>
          <cell r="P182">
            <v>0</v>
          </cell>
          <cell r="Q182">
            <v>216.13202171164747</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12.234420308699171</v>
          </cell>
          <cell r="G183">
            <v>12.234420308699173</v>
          </cell>
          <cell r="H183">
            <v>12.234420308699169</v>
          </cell>
          <cell r="I183">
            <v>12.234420308699171</v>
          </cell>
          <cell r="J183">
            <v>0</v>
          </cell>
          <cell r="K183">
            <v>0</v>
          </cell>
          <cell r="L183">
            <v>0</v>
          </cell>
          <cell r="M183">
            <v>0</v>
          </cell>
          <cell r="N183">
            <v>0</v>
          </cell>
          <cell r="O183">
            <v>0</v>
          </cell>
          <cell r="P183">
            <v>0</v>
          </cell>
          <cell r="Q183">
            <v>12.234420308699169</v>
          </cell>
          <cell r="R183">
            <v>0</v>
          </cell>
          <cell r="S183">
            <v>0</v>
          </cell>
          <cell r="T183">
            <v>0</v>
          </cell>
          <cell r="U183">
            <v>0</v>
          </cell>
          <cell r="V183">
            <v>12.234420308699171</v>
          </cell>
          <cell r="W183">
            <v>12.234420308699169</v>
          </cell>
          <cell r="X183">
            <v>0</v>
          </cell>
          <cell r="Y183">
            <v>0</v>
          </cell>
          <cell r="Z183">
            <v>0</v>
          </cell>
          <cell r="AA183">
            <v>0</v>
          </cell>
          <cell r="AB183">
            <v>0</v>
          </cell>
          <cell r="AC183">
            <v>0</v>
          </cell>
          <cell r="AD183">
            <v>0</v>
          </cell>
          <cell r="AE183">
            <v>0</v>
          </cell>
          <cell r="AF183">
            <v>0</v>
          </cell>
        </row>
        <row r="184">
          <cell r="E184">
            <v>0</v>
          </cell>
          <cell r="F184">
            <v>18.477220943279157</v>
          </cell>
          <cell r="G184">
            <v>18.477220943279153</v>
          </cell>
          <cell r="H184">
            <v>18.477220943279153</v>
          </cell>
          <cell r="I184">
            <v>18.477220943279153</v>
          </cell>
          <cell r="J184">
            <v>0</v>
          </cell>
          <cell r="K184">
            <v>0</v>
          </cell>
          <cell r="L184">
            <v>0</v>
          </cell>
          <cell r="M184">
            <v>0</v>
          </cell>
          <cell r="N184">
            <v>0</v>
          </cell>
          <cell r="O184">
            <v>0</v>
          </cell>
          <cell r="P184">
            <v>0</v>
          </cell>
          <cell r="Q184">
            <v>18.477220943279153</v>
          </cell>
          <cell r="R184">
            <v>0</v>
          </cell>
          <cell r="S184">
            <v>0</v>
          </cell>
          <cell r="T184">
            <v>0</v>
          </cell>
          <cell r="U184">
            <v>0</v>
          </cell>
          <cell r="V184">
            <v>18.47722094327915</v>
          </cell>
          <cell r="W184">
            <v>18.477220943279153</v>
          </cell>
          <cell r="X184">
            <v>0</v>
          </cell>
          <cell r="Y184">
            <v>0</v>
          </cell>
          <cell r="Z184">
            <v>0</v>
          </cell>
          <cell r="AA184">
            <v>0</v>
          </cell>
          <cell r="AB184">
            <v>0</v>
          </cell>
          <cell r="AC184">
            <v>0</v>
          </cell>
          <cell r="AD184">
            <v>0</v>
          </cell>
          <cell r="AE184">
            <v>0</v>
          </cell>
          <cell r="AF184">
            <v>0</v>
          </cell>
        </row>
        <row r="185">
          <cell r="E185">
            <v>0</v>
          </cell>
          <cell r="F185">
            <v>53.805623007555688</v>
          </cell>
          <cell r="G185">
            <v>53.805623007555702</v>
          </cell>
          <cell r="H185">
            <v>53.805623007555688</v>
          </cell>
          <cell r="I185">
            <v>53.805623007555688</v>
          </cell>
          <cell r="J185">
            <v>0</v>
          </cell>
          <cell r="K185">
            <v>0</v>
          </cell>
          <cell r="L185">
            <v>0</v>
          </cell>
          <cell r="M185">
            <v>0</v>
          </cell>
          <cell r="N185">
            <v>0</v>
          </cell>
          <cell r="O185">
            <v>0</v>
          </cell>
          <cell r="P185">
            <v>0</v>
          </cell>
          <cell r="Q185">
            <v>53.805623007555688</v>
          </cell>
          <cell r="R185">
            <v>0</v>
          </cell>
          <cell r="S185">
            <v>0</v>
          </cell>
          <cell r="T185">
            <v>0</v>
          </cell>
          <cell r="U185">
            <v>0</v>
          </cell>
          <cell r="V185">
            <v>53.805623007555688</v>
          </cell>
          <cell r="W185">
            <v>53.805623007555688</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3327.3634764307503</v>
          </cell>
          <cell r="G187">
            <v>2896.419367202941</v>
          </cell>
          <cell r="H187">
            <v>2489.2791429186432</v>
          </cell>
          <cell r="I187">
            <v>2740.1861489369408</v>
          </cell>
          <cell r="J187">
            <v>0</v>
          </cell>
          <cell r="K187">
            <v>0</v>
          </cell>
          <cell r="L187">
            <v>0</v>
          </cell>
          <cell r="M187">
            <v>0</v>
          </cell>
          <cell r="N187">
            <v>0</v>
          </cell>
          <cell r="O187">
            <v>0</v>
          </cell>
          <cell r="P187">
            <v>0</v>
          </cell>
          <cell r="Q187">
            <v>1570.2413294242258</v>
          </cell>
          <cell r="R187">
            <v>0</v>
          </cell>
          <cell r="S187">
            <v>0</v>
          </cell>
          <cell r="T187">
            <v>0</v>
          </cell>
          <cell r="U187">
            <v>0</v>
          </cell>
          <cell r="V187">
            <v>2435.6805204901857</v>
          </cell>
          <cell r="W187">
            <v>3247.1442621441802</v>
          </cell>
          <cell r="X187">
            <v>0</v>
          </cell>
          <cell r="Y187">
            <v>0</v>
          </cell>
          <cell r="Z187">
            <v>0</v>
          </cell>
          <cell r="AA187">
            <v>0</v>
          </cell>
          <cell r="AB187">
            <v>0</v>
          </cell>
          <cell r="AC187">
            <v>0</v>
          </cell>
          <cell r="AD187">
            <v>0</v>
          </cell>
          <cell r="AE187">
            <v>0</v>
          </cell>
          <cell r="AF187">
            <v>0</v>
          </cell>
        </row>
        <row r="188">
          <cell r="E188">
            <v>0</v>
          </cell>
          <cell r="F188">
            <v>2233.0364550153208</v>
          </cell>
          <cell r="G188">
            <v>1806.8515016617598</v>
          </cell>
          <cell r="H188">
            <v>1702.5794851333319</v>
          </cell>
          <cell r="I188">
            <v>1929.3247729968155</v>
          </cell>
          <cell r="J188">
            <v>0</v>
          </cell>
          <cell r="K188">
            <v>0</v>
          </cell>
          <cell r="L188">
            <v>0</v>
          </cell>
          <cell r="M188">
            <v>0</v>
          </cell>
          <cell r="N188">
            <v>0</v>
          </cell>
          <cell r="O188">
            <v>0</v>
          </cell>
          <cell r="P188">
            <v>0</v>
          </cell>
          <cell r="Q188">
            <v>1441.7522522522522</v>
          </cell>
          <cell r="R188">
            <v>0</v>
          </cell>
          <cell r="S188">
            <v>0</v>
          </cell>
          <cell r="T188">
            <v>0</v>
          </cell>
          <cell r="U188">
            <v>0</v>
          </cell>
          <cell r="V188">
            <v>2158.5427946695636</v>
          </cell>
          <cell r="W188">
            <v>2970.0065363235581</v>
          </cell>
          <cell r="X188">
            <v>0</v>
          </cell>
          <cell r="Y188">
            <v>0</v>
          </cell>
          <cell r="Z188">
            <v>0</v>
          </cell>
          <cell r="AA188">
            <v>0</v>
          </cell>
          <cell r="AB188">
            <v>0</v>
          </cell>
          <cell r="AC188">
            <v>0</v>
          </cell>
          <cell r="AD188">
            <v>0</v>
          </cell>
          <cell r="AE188">
            <v>0</v>
          </cell>
          <cell r="AF188">
            <v>0</v>
          </cell>
        </row>
        <row r="189">
          <cell r="E189">
            <v>0</v>
          </cell>
          <cell r="F189">
            <v>91.319079850734255</v>
          </cell>
          <cell r="G189">
            <v>92.219980751635148</v>
          </cell>
          <cell r="H189">
            <v>87.39549549549551</v>
          </cell>
          <cell r="I189">
            <v>87.39549549549551</v>
          </cell>
          <cell r="J189">
            <v>0</v>
          </cell>
          <cell r="K189">
            <v>0</v>
          </cell>
          <cell r="L189">
            <v>0</v>
          </cell>
          <cell r="M189">
            <v>0</v>
          </cell>
          <cell r="N189">
            <v>0</v>
          </cell>
          <cell r="O189">
            <v>0</v>
          </cell>
          <cell r="P189">
            <v>0</v>
          </cell>
          <cell r="Q189">
            <v>95.481981981981988</v>
          </cell>
          <cell r="R189">
            <v>0</v>
          </cell>
          <cell r="S189">
            <v>0</v>
          </cell>
          <cell r="T189">
            <v>0</v>
          </cell>
          <cell r="U189">
            <v>0</v>
          </cell>
          <cell r="V189">
            <v>171.5337856605546</v>
          </cell>
          <cell r="W189">
            <v>187.50203181905314</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1973.4954954954953</v>
          </cell>
          <cell r="W190">
            <v>2768.9909909909916</v>
          </cell>
          <cell r="X190">
            <v>0</v>
          </cell>
          <cell r="Y190">
            <v>0</v>
          </cell>
          <cell r="Z190">
            <v>0</v>
          </cell>
          <cell r="AA190">
            <v>0</v>
          </cell>
          <cell r="AB190">
            <v>0</v>
          </cell>
          <cell r="AC190">
            <v>0</v>
          </cell>
          <cell r="AD190">
            <v>0</v>
          </cell>
          <cell r="AE190">
            <v>0</v>
          </cell>
          <cell r="AF190">
            <v>0</v>
          </cell>
        </row>
        <row r="191">
          <cell r="E191">
            <v>0</v>
          </cell>
          <cell r="F191">
            <v>1350.8801048233793</v>
          </cell>
          <cell r="G191">
            <v>1349.9792039224785</v>
          </cell>
          <cell r="H191">
            <v>1161.7747747747746</v>
          </cell>
          <cell r="I191">
            <v>1162.1711711711712</v>
          </cell>
          <cell r="J191">
            <v>0</v>
          </cell>
          <cell r="K191">
            <v>0</v>
          </cell>
          <cell r="L191">
            <v>0</v>
          </cell>
          <cell r="M191">
            <v>0</v>
          </cell>
          <cell r="N191">
            <v>0</v>
          </cell>
          <cell r="O191">
            <v>0</v>
          </cell>
          <cell r="P191">
            <v>0</v>
          </cell>
          <cell r="Q191">
            <v>1235.8648648648648</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168.50393700787401</v>
          </cell>
          <cell r="G192">
            <v>159.42709176242113</v>
          </cell>
          <cell r="H192">
            <v>160.59990041521468</v>
          </cell>
          <cell r="I192">
            <v>157.57552734444559</v>
          </cell>
          <cell r="J192">
            <v>0</v>
          </cell>
          <cell r="K192">
            <v>0</v>
          </cell>
          <cell r="L192">
            <v>0</v>
          </cell>
          <cell r="M192">
            <v>0</v>
          </cell>
          <cell r="N192">
            <v>0</v>
          </cell>
          <cell r="O192">
            <v>0</v>
          </cell>
          <cell r="P192">
            <v>0</v>
          </cell>
          <cell r="Q192">
            <v>107.83783783783787</v>
          </cell>
          <cell r="R192">
            <v>0</v>
          </cell>
          <cell r="S192">
            <v>0</v>
          </cell>
          <cell r="T192">
            <v>0</v>
          </cell>
          <cell r="U192">
            <v>0</v>
          </cell>
          <cell r="V192">
            <v>13.513513513513514</v>
          </cell>
          <cell r="W192">
            <v>13.513513513513516</v>
          </cell>
          <cell r="X192">
            <v>0</v>
          </cell>
          <cell r="Y192">
            <v>0</v>
          </cell>
          <cell r="Z192">
            <v>0</v>
          </cell>
          <cell r="AA192">
            <v>0</v>
          </cell>
          <cell r="AB192">
            <v>0</v>
          </cell>
          <cell r="AC192">
            <v>0</v>
          </cell>
          <cell r="AD192">
            <v>0</v>
          </cell>
          <cell r="AE192">
            <v>0</v>
          </cell>
          <cell r="AF192">
            <v>0</v>
          </cell>
        </row>
        <row r="193">
          <cell r="E193">
            <v>0</v>
          </cell>
          <cell r="F193">
            <v>0</v>
          </cell>
          <cell r="G193">
            <v>0</v>
          </cell>
          <cell r="H193">
            <v>106.15943051377339</v>
          </cell>
          <cell r="I193">
            <v>109.68458101690187</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128.10810810810813</v>
          </cell>
          <cell r="G194">
            <v>126.4864864864865</v>
          </cell>
          <cell r="H194">
            <v>160.50812593510616</v>
          </cell>
          <cell r="I194">
            <v>386.35623996983384</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494.2252252252253</v>
          </cell>
          <cell r="G195">
            <v>78.738738738738761</v>
          </cell>
          <cell r="H195">
            <v>26.14175799896741</v>
          </cell>
          <cell r="I195">
            <v>26.14175799896741</v>
          </cell>
          <cell r="J195">
            <v>0</v>
          </cell>
          <cell r="K195">
            <v>0</v>
          </cell>
          <cell r="L195">
            <v>0</v>
          </cell>
          <cell r="M195">
            <v>0</v>
          </cell>
          <cell r="N195">
            <v>0</v>
          </cell>
          <cell r="O195">
            <v>0</v>
          </cell>
          <cell r="P195">
            <v>0</v>
          </cell>
          <cell r="Q195">
            <v>2.5675675675675675</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976.59909909909913</v>
          </cell>
          <cell r="G196">
            <v>976.59909909909891</v>
          </cell>
          <cell r="H196">
            <v>621.89144144144166</v>
          </cell>
          <cell r="I196">
            <v>621.89144144144154</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522.16216216216219</v>
          </cell>
          <cell r="G197">
            <v>522.16216216216219</v>
          </cell>
          <cell r="H197">
            <v>274.32432432432444</v>
          </cell>
          <cell r="I197">
            <v>274.32432432432438</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206.68918918918922</v>
          </cell>
          <cell r="G198">
            <v>206.68918918918919</v>
          </cell>
          <cell r="H198">
            <v>141.89189189189193</v>
          </cell>
          <cell r="I198">
            <v>141.8918918918919</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180.1801801801802</v>
          </cell>
          <cell r="G199">
            <v>180.1801801801802</v>
          </cell>
          <cell r="H199">
            <v>151.35135135135135</v>
          </cell>
          <cell r="I199">
            <v>151.35135135135135</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67.567567567567579</v>
          </cell>
          <cell r="G200">
            <v>67.567567567567579</v>
          </cell>
          <cell r="H200">
            <v>54.323873873873879</v>
          </cell>
          <cell r="I200">
            <v>54.323873873873879</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117.72792231633044</v>
          </cell>
          <cell r="G201">
            <v>112.96876644208191</v>
          </cell>
          <cell r="H201">
            <v>164.80821634387004</v>
          </cell>
          <cell r="I201">
            <v>188.96993449868324</v>
          </cell>
          <cell r="J201">
            <v>0</v>
          </cell>
          <cell r="K201">
            <v>0</v>
          </cell>
          <cell r="L201">
            <v>0</v>
          </cell>
          <cell r="M201">
            <v>0</v>
          </cell>
          <cell r="N201">
            <v>0</v>
          </cell>
          <cell r="O201">
            <v>0</v>
          </cell>
          <cell r="P201">
            <v>0</v>
          </cell>
          <cell r="Q201">
            <v>128.48907717197346</v>
          </cell>
          <cell r="R201">
            <v>0</v>
          </cell>
          <cell r="S201">
            <v>0</v>
          </cell>
          <cell r="T201">
            <v>0</v>
          </cell>
          <cell r="U201">
            <v>0</v>
          </cell>
          <cell r="V201">
            <v>277.13772582062217</v>
          </cell>
          <cell r="W201">
            <v>277.13772582062211</v>
          </cell>
          <cell r="X201">
            <v>0</v>
          </cell>
          <cell r="Y201">
            <v>0</v>
          </cell>
          <cell r="Z201">
            <v>0</v>
          </cell>
          <cell r="AA201">
            <v>0</v>
          </cell>
          <cell r="AB201">
            <v>0</v>
          </cell>
          <cell r="AC201">
            <v>0</v>
          </cell>
          <cell r="AD201">
            <v>0</v>
          </cell>
          <cell r="AE201">
            <v>0</v>
          </cell>
          <cell r="AF201">
            <v>0</v>
          </cell>
        </row>
        <row r="202">
          <cell r="E202">
            <v>0</v>
          </cell>
          <cell r="F202">
            <v>91.891891891891902</v>
          </cell>
          <cell r="G202">
            <v>91.891891891891902</v>
          </cell>
          <cell r="H202">
            <v>84.684684684684683</v>
          </cell>
          <cell r="I202">
            <v>108.32630053671363</v>
          </cell>
          <cell r="J202">
            <v>0</v>
          </cell>
          <cell r="K202">
            <v>0</v>
          </cell>
          <cell r="L202">
            <v>0</v>
          </cell>
          <cell r="M202">
            <v>0</v>
          </cell>
          <cell r="N202">
            <v>0</v>
          </cell>
          <cell r="O202">
            <v>0</v>
          </cell>
          <cell r="P202">
            <v>0</v>
          </cell>
          <cell r="Q202">
            <v>122.52252252252254</v>
          </cell>
          <cell r="R202">
            <v>0</v>
          </cell>
          <cell r="S202">
            <v>0</v>
          </cell>
          <cell r="T202">
            <v>0</v>
          </cell>
          <cell r="U202">
            <v>0</v>
          </cell>
          <cell r="V202">
            <v>271.17117117117124</v>
          </cell>
          <cell r="W202">
            <v>271.17117117117118</v>
          </cell>
          <cell r="X202">
            <v>0</v>
          </cell>
          <cell r="Y202">
            <v>0</v>
          </cell>
          <cell r="Z202">
            <v>0</v>
          </cell>
          <cell r="AA202">
            <v>0</v>
          </cell>
          <cell r="AB202">
            <v>0</v>
          </cell>
          <cell r="AC202">
            <v>0</v>
          </cell>
          <cell r="AD202">
            <v>0</v>
          </cell>
          <cell r="AE202">
            <v>0</v>
          </cell>
          <cell r="AF202">
            <v>0</v>
          </cell>
        </row>
        <row r="203">
          <cell r="E203">
            <v>0</v>
          </cell>
          <cell r="F203">
            <v>37.837837837837839</v>
          </cell>
          <cell r="G203">
            <v>37.837837837837839</v>
          </cell>
          <cell r="H203">
            <v>27.027027027027028</v>
          </cell>
          <cell r="I203">
            <v>27.027027027027028</v>
          </cell>
          <cell r="J203">
            <v>0</v>
          </cell>
          <cell r="K203">
            <v>0</v>
          </cell>
          <cell r="L203">
            <v>0</v>
          </cell>
          <cell r="M203">
            <v>0</v>
          </cell>
          <cell r="N203">
            <v>0</v>
          </cell>
          <cell r="O203">
            <v>0</v>
          </cell>
          <cell r="P203">
            <v>0</v>
          </cell>
          <cell r="Q203">
            <v>27.027027027027032</v>
          </cell>
          <cell r="R203">
            <v>0</v>
          </cell>
          <cell r="S203">
            <v>0</v>
          </cell>
          <cell r="T203">
            <v>0</v>
          </cell>
          <cell r="U203">
            <v>0</v>
          </cell>
          <cell r="V203">
            <v>31.531531531531535</v>
          </cell>
          <cell r="W203">
            <v>31.531531531531538</v>
          </cell>
          <cell r="X203">
            <v>0</v>
          </cell>
          <cell r="Y203">
            <v>0</v>
          </cell>
          <cell r="Z203">
            <v>0</v>
          </cell>
          <cell r="AA203">
            <v>0</v>
          </cell>
          <cell r="AB203">
            <v>0</v>
          </cell>
          <cell r="AC203">
            <v>0</v>
          </cell>
          <cell r="AD203">
            <v>0</v>
          </cell>
          <cell r="AE203">
            <v>0</v>
          </cell>
          <cell r="AF203">
            <v>0</v>
          </cell>
        </row>
        <row r="204">
          <cell r="E204">
            <v>0</v>
          </cell>
          <cell r="F204">
            <v>36.936936936936938</v>
          </cell>
          <cell r="G204">
            <v>36.936936936936938</v>
          </cell>
          <cell r="H204">
            <v>34.234234234234236</v>
          </cell>
          <cell r="I204">
            <v>34.234234234234236</v>
          </cell>
          <cell r="J204">
            <v>0</v>
          </cell>
          <cell r="K204">
            <v>0</v>
          </cell>
          <cell r="L204">
            <v>0</v>
          </cell>
          <cell r="M204">
            <v>0</v>
          </cell>
          <cell r="N204">
            <v>0</v>
          </cell>
          <cell r="O204">
            <v>0</v>
          </cell>
          <cell r="P204">
            <v>0</v>
          </cell>
          <cell r="Q204">
            <v>43.243243243243249</v>
          </cell>
          <cell r="R204">
            <v>0</v>
          </cell>
          <cell r="S204">
            <v>0</v>
          </cell>
          <cell r="T204">
            <v>0</v>
          </cell>
          <cell r="U204">
            <v>0</v>
          </cell>
          <cell r="V204">
            <v>71.171171171171181</v>
          </cell>
          <cell r="W204">
            <v>71.171171171171181</v>
          </cell>
          <cell r="X204">
            <v>0</v>
          </cell>
          <cell r="Y204">
            <v>0</v>
          </cell>
          <cell r="Z204">
            <v>0</v>
          </cell>
          <cell r="AA204">
            <v>0</v>
          </cell>
          <cell r="AB204">
            <v>0</v>
          </cell>
          <cell r="AC204">
            <v>0</v>
          </cell>
          <cell r="AD204">
            <v>0</v>
          </cell>
          <cell r="AE204">
            <v>0</v>
          </cell>
          <cell r="AF204">
            <v>0</v>
          </cell>
        </row>
        <row r="205">
          <cell r="E205">
            <v>0</v>
          </cell>
          <cell r="F205">
            <v>6.3063063063063067</v>
          </cell>
          <cell r="G205">
            <v>6.3063063063063067</v>
          </cell>
          <cell r="H205">
            <v>16.216216216216218</v>
          </cell>
          <cell r="I205">
            <v>16.216216216216218</v>
          </cell>
          <cell r="J205">
            <v>0</v>
          </cell>
          <cell r="K205">
            <v>0</v>
          </cell>
          <cell r="L205">
            <v>0</v>
          </cell>
          <cell r="M205">
            <v>0</v>
          </cell>
          <cell r="N205">
            <v>0</v>
          </cell>
          <cell r="O205">
            <v>0</v>
          </cell>
          <cell r="P205">
            <v>0</v>
          </cell>
          <cell r="Q205">
            <v>45.04504504504505</v>
          </cell>
          <cell r="R205">
            <v>0</v>
          </cell>
          <cell r="S205">
            <v>0</v>
          </cell>
          <cell r="T205">
            <v>0</v>
          </cell>
          <cell r="U205">
            <v>0</v>
          </cell>
          <cell r="V205">
            <v>99.099099099099121</v>
          </cell>
          <cell r="W205">
            <v>99.099099099099107</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63.063063063063069</v>
          </cell>
          <cell r="W206">
            <v>63.063063063063076</v>
          </cell>
          <cell r="X206">
            <v>0</v>
          </cell>
          <cell r="Y206">
            <v>0</v>
          </cell>
          <cell r="Z206">
            <v>0</v>
          </cell>
          <cell r="AA206">
            <v>0</v>
          </cell>
          <cell r="AB206">
            <v>0</v>
          </cell>
          <cell r="AC206">
            <v>0</v>
          </cell>
          <cell r="AD206">
            <v>0</v>
          </cell>
          <cell r="AE206">
            <v>0</v>
          </cell>
          <cell r="AF206">
            <v>0</v>
          </cell>
        </row>
        <row r="207">
          <cell r="E207">
            <v>0</v>
          </cell>
          <cell r="F207">
            <v>10.810810810810812</v>
          </cell>
          <cell r="G207">
            <v>10.810810810810812</v>
          </cell>
          <cell r="H207">
            <v>7.2072072072072082</v>
          </cell>
          <cell r="I207">
            <v>30.848823059236153</v>
          </cell>
          <cell r="J207">
            <v>0</v>
          </cell>
          <cell r="K207">
            <v>0</v>
          </cell>
          <cell r="L207">
            <v>0</v>
          </cell>
          <cell r="M207">
            <v>0</v>
          </cell>
          <cell r="N207">
            <v>0</v>
          </cell>
          <cell r="O207">
            <v>0</v>
          </cell>
          <cell r="P207">
            <v>0</v>
          </cell>
          <cell r="Q207">
            <v>7.2072072072072082</v>
          </cell>
          <cell r="R207">
            <v>0</v>
          </cell>
          <cell r="S207">
            <v>0</v>
          </cell>
          <cell r="T207">
            <v>0</v>
          </cell>
          <cell r="U207">
            <v>0</v>
          </cell>
          <cell r="V207">
            <v>6.3063063063063076</v>
          </cell>
          <cell r="W207">
            <v>6.3063063063063067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19.869475774987588</v>
          </cell>
          <cell r="G210">
            <v>15.110319900739063</v>
          </cell>
          <cell r="H210">
            <v>16.659805457313855</v>
          </cell>
          <cell r="I210">
            <v>13.151164327951276</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57.497171552420554</v>
          </cell>
          <cell r="I211">
            <v>61.525914984567386</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5.9665546494509494</v>
          </cell>
          <cell r="G213">
            <v>5.9665546494509494</v>
          </cell>
          <cell r="H213">
            <v>5.9665546494509485</v>
          </cell>
          <cell r="I213">
            <v>5.9665546494509485</v>
          </cell>
          <cell r="J213">
            <v>0</v>
          </cell>
          <cell r="K213">
            <v>0</v>
          </cell>
          <cell r="L213">
            <v>0</v>
          </cell>
          <cell r="M213">
            <v>0</v>
          </cell>
          <cell r="N213">
            <v>0</v>
          </cell>
          <cell r="O213">
            <v>0</v>
          </cell>
          <cell r="P213">
            <v>0</v>
          </cell>
          <cell r="Q213">
            <v>5.9665546494509494</v>
          </cell>
          <cell r="R213">
            <v>0</v>
          </cell>
          <cell r="S213">
            <v>0</v>
          </cell>
          <cell r="T213">
            <v>0</v>
          </cell>
          <cell r="U213">
            <v>0</v>
          </cell>
          <cell r="V213">
            <v>5.9665546494509494</v>
          </cell>
          <cell r="W213">
            <v>5.9665546494509494</v>
          </cell>
          <cell r="X213">
            <v>0</v>
          </cell>
          <cell r="Y213">
            <v>0</v>
          </cell>
          <cell r="Z213">
            <v>0</v>
          </cell>
          <cell r="AA213">
            <v>0</v>
          </cell>
          <cell r="AB213">
            <v>0</v>
          </cell>
          <cell r="AC213">
            <v>0</v>
          </cell>
          <cell r="AD213">
            <v>0</v>
          </cell>
          <cell r="AE213">
            <v>0</v>
          </cell>
          <cell r="AF213">
            <v>0</v>
          </cell>
        </row>
        <row r="214">
          <cell r="E214">
            <v>0</v>
          </cell>
          <cell r="F214">
            <v>644.17805883879839</v>
          </cell>
          <cell r="G214">
            <v>644.17805883879805</v>
          </cell>
          <cell r="H214">
            <v>209.57073240769577</v>
          </cell>
          <cell r="I214">
            <v>209.57073240769574</v>
          </cell>
          <cell r="J214">
            <v>0</v>
          </cell>
          <cell r="K214">
            <v>0</v>
          </cell>
          <cell r="L214">
            <v>0</v>
          </cell>
          <cell r="M214">
            <v>0</v>
          </cell>
          <cell r="N214">
            <v>0</v>
          </cell>
          <cell r="O214">
            <v>0</v>
          </cell>
          <cell r="P214">
            <v>0</v>
          </cell>
          <cell r="Q214">
            <v>412.27395765683087</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147.40881148720095</v>
          </cell>
          <cell r="G215">
            <v>147.40881148720095</v>
          </cell>
          <cell r="H215">
            <v>47.956573749823029</v>
          </cell>
          <cell r="I215">
            <v>47.956573749823036</v>
          </cell>
          <cell r="J215">
            <v>0</v>
          </cell>
          <cell r="K215">
            <v>0</v>
          </cell>
          <cell r="L215">
            <v>0</v>
          </cell>
          <cell r="M215">
            <v>0</v>
          </cell>
          <cell r="N215">
            <v>0</v>
          </cell>
          <cell r="O215">
            <v>0</v>
          </cell>
          <cell r="P215">
            <v>0</v>
          </cell>
          <cell r="Q215">
            <v>94.34163935180861</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29.964567346761406</v>
          </cell>
          <cell r="G216">
            <v>29.964567346761406</v>
          </cell>
          <cell r="H216">
            <v>9.7483859299094355</v>
          </cell>
          <cell r="I216">
            <v>9.7483859299094373</v>
          </cell>
          <cell r="J216">
            <v>0</v>
          </cell>
          <cell r="K216">
            <v>0</v>
          </cell>
          <cell r="L216">
            <v>0</v>
          </cell>
          <cell r="M216">
            <v>0</v>
          </cell>
          <cell r="N216">
            <v>0</v>
          </cell>
          <cell r="O216">
            <v>0</v>
          </cell>
          <cell r="P216">
            <v>0</v>
          </cell>
          <cell r="Q216">
            <v>19.1773231019273</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43.107593689394612</v>
          </cell>
          <cell r="G218">
            <v>43.107593689394605</v>
          </cell>
          <cell r="H218">
            <v>14.024212495074318</v>
          </cell>
          <cell r="I218">
            <v>14.02421249507432</v>
          </cell>
          <cell r="J218">
            <v>0</v>
          </cell>
          <cell r="K218">
            <v>0</v>
          </cell>
          <cell r="L218">
            <v>0</v>
          </cell>
          <cell r="M218">
            <v>0</v>
          </cell>
          <cell r="N218">
            <v>0</v>
          </cell>
          <cell r="O218">
            <v>0</v>
          </cell>
          <cell r="P218">
            <v>0</v>
          </cell>
          <cell r="Q218">
            <v>27.588859961212552</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8.813108043165121</v>
          </cell>
          <cell r="G220">
            <v>8.813108043165121</v>
          </cell>
          <cell r="H220">
            <v>2.8671723323263052</v>
          </cell>
          <cell r="I220">
            <v>2.8671723323263056</v>
          </cell>
          <cell r="J220">
            <v>0</v>
          </cell>
          <cell r="K220">
            <v>0</v>
          </cell>
          <cell r="L220">
            <v>0</v>
          </cell>
          <cell r="M220">
            <v>0</v>
          </cell>
          <cell r="N220">
            <v>0</v>
          </cell>
          <cell r="O220">
            <v>0</v>
          </cell>
          <cell r="P220">
            <v>0</v>
          </cell>
          <cell r="Q220">
            <v>5.6403891476256778</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13.411251370033877</v>
          </cell>
          <cell r="G221">
            <v>13.411251370033877</v>
          </cell>
          <cell r="H221">
            <v>4.3630883318008982</v>
          </cell>
          <cell r="I221">
            <v>4.3630883318008991</v>
          </cell>
          <cell r="J221">
            <v>0</v>
          </cell>
          <cell r="K221">
            <v>0</v>
          </cell>
          <cell r="L221">
            <v>0</v>
          </cell>
          <cell r="M221">
            <v>0</v>
          </cell>
          <cell r="N221">
            <v>0</v>
          </cell>
          <cell r="O221">
            <v>0</v>
          </cell>
          <cell r="P221">
            <v>0</v>
          </cell>
          <cell r="Q221">
            <v>8.5832008768216816</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52.112291037845928</v>
          </cell>
          <cell r="G222">
            <v>52.112291037845928</v>
          </cell>
          <cell r="H222">
            <v>16.953714660712063</v>
          </cell>
          <cell r="I222">
            <v>16.953714660712066</v>
          </cell>
          <cell r="J222">
            <v>0</v>
          </cell>
          <cell r="K222">
            <v>0</v>
          </cell>
          <cell r="L222">
            <v>0</v>
          </cell>
          <cell r="M222">
            <v>0</v>
          </cell>
          <cell r="N222">
            <v>0</v>
          </cell>
          <cell r="O222">
            <v>0</v>
          </cell>
          <cell r="P222">
            <v>0</v>
          </cell>
          <cell r="Q222">
            <v>33.3518662642214</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246.41629416279423</v>
          </cell>
          <cell r="G223">
            <v>246.41629416279417</v>
          </cell>
          <cell r="H223">
            <v>80.166721819083264</v>
          </cell>
          <cell r="I223">
            <v>80.166721819083278</v>
          </cell>
          <cell r="J223">
            <v>0</v>
          </cell>
          <cell r="K223">
            <v>0</v>
          </cell>
          <cell r="L223">
            <v>0</v>
          </cell>
          <cell r="M223">
            <v>0</v>
          </cell>
          <cell r="N223">
            <v>0</v>
          </cell>
          <cell r="O223">
            <v>0</v>
          </cell>
          <cell r="P223">
            <v>0</v>
          </cell>
          <cell r="Q223">
            <v>157.70642826418833</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26.290420921426929</v>
          </cell>
          <cell r="G224">
            <v>26.290420921426929</v>
          </cell>
          <cell r="H224">
            <v>8.5530742505292618</v>
          </cell>
          <cell r="I224">
            <v>8.5530742505292654</v>
          </cell>
          <cell r="J224">
            <v>0</v>
          </cell>
          <cell r="K224">
            <v>0</v>
          </cell>
          <cell r="L224">
            <v>0</v>
          </cell>
          <cell r="M224">
            <v>0</v>
          </cell>
          <cell r="N224">
            <v>0</v>
          </cell>
          <cell r="O224">
            <v>0</v>
          </cell>
          <cell r="P224">
            <v>0</v>
          </cell>
          <cell r="Q224">
            <v>16.825869389713237</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205.25854315115831</v>
          </cell>
          <cell r="G225">
            <v>205.25854315115828</v>
          </cell>
          <cell r="H225">
            <v>66.776852503586156</v>
          </cell>
          <cell r="I225">
            <v>66.77685250358617</v>
          </cell>
          <cell r="J225">
            <v>0</v>
          </cell>
          <cell r="K225">
            <v>0</v>
          </cell>
          <cell r="L225">
            <v>0</v>
          </cell>
          <cell r="M225">
            <v>0</v>
          </cell>
          <cell r="N225">
            <v>0</v>
          </cell>
          <cell r="O225">
            <v>0</v>
          </cell>
          <cell r="P225">
            <v>0</v>
          </cell>
          <cell r="Q225">
            <v>131.36546761674131</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14.867330090208984</v>
          </cell>
          <cell r="G227">
            <v>14.867330090208982</v>
          </cell>
          <cell r="H227">
            <v>4.8367950649678528</v>
          </cell>
          <cell r="I227">
            <v>4.8367950649678546</v>
          </cell>
          <cell r="J227">
            <v>0</v>
          </cell>
          <cell r="K227">
            <v>0</v>
          </cell>
          <cell r="L227">
            <v>0</v>
          </cell>
          <cell r="M227">
            <v>0</v>
          </cell>
          <cell r="N227">
            <v>0</v>
          </cell>
          <cell r="O227">
            <v>0</v>
          </cell>
          <cell r="P227">
            <v>0</v>
          </cell>
          <cell r="Q227">
            <v>9.515091257733749</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210.34791123868465</v>
          </cell>
          <cell r="G229">
            <v>210.34791123868462</v>
          </cell>
          <cell r="H229">
            <v>68.432578871413526</v>
          </cell>
          <cell r="I229">
            <v>68.432578871413526</v>
          </cell>
          <cell r="J229">
            <v>0</v>
          </cell>
          <cell r="K229">
            <v>0</v>
          </cell>
          <cell r="L229">
            <v>0</v>
          </cell>
          <cell r="M229">
            <v>0</v>
          </cell>
          <cell r="N229">
            <v>0</v>
          </cell>
          <cell r="O229">
            <v>0</v>
          </cell>
          <cell r="P229">
            <v>0</v>
          </cell>
          <cell r="Q229">
            <v>134.62266319275815</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46.605746178893199</v>
          </cell>
          <cell r="G230">
            <v>46.605746178893192</v>
          </cell>
          <cell r="H230">
            <v>15.162267989574604</v>
          </cell>
          <cell r="I230">
            <v>15.162267989574605</v>
          </cell>
          <cell r="J230">
            <v>0</v>
          </cell>
          <cell r="K230">
            <v>0</v>
          </cell>
          <cell r="L230">
            <v>0</v>
          </cell>
          <cell r="M230">
            <v>0</v>
          </cell>
          <cell r="N230">
            <v>0</v>
          </cell>
          <cell r="O230">
            <v>0</v>
          </cell>
          <cell r="P230">
            <v>0</v>
          </cell>
          <cell r="Q230">
            <v>29.827677554491647</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142.54065496608217</v>
          </cell>
          <cell r="G231">
            <v>142.54065496608217</v>
          </cell>
          <cell r="H231">
            <v>46.372814238601507</v>
          </cell>
          <cell r="I231">
            <v>46.372814238601514</v>
          </cell>
          <cell r="J231">
            <v>0</v>
          </cell>
          <cell r="K231">
            <v>0</v>
          </cell>
          <cell r="L231">
            <v>0</v>
          </cell>
          <cell r="M231">
            <v>0</v>
          </cell>
          <cell r="N231">
            <v>0</v>
          </cell>
          <cell r="O231">
            <v>0</v>
          </cell>
          <cell r="P231">
            <v>0</v>
          </cell>
          <cell r="Q231">
            <v>91.226019178292603</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21.201510093709256</v>
          </cell>
          <cell r="G232">
            <v>21.201510093709253</v>
          </cell>
          <cell r="H232">
            <v>6.8974966432374121</v>
          </cell>
          <cell r="I232">
            <v>6.8974966432374138</v>
          </cell>
          <cell r="J232">
            <v>0</v>
          </cell>
          <cell r="K232">
            <v>0</v>
          </cell>
          <cell r="L232">
            <v>0</v>
          </cell>
          <cell r="M232">
            <v>0</v>
          </cell>
          <cell r="N232">
            <v>0</v>
          </cell>
          <cell r="O232">
            <v>0</v>
          </cell>
          <cell r="P232">
            <v>0</v>
          </cell>
          <cell r="Q232">
            <v>13.568966459973923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6.3863101762066083</v>
          </cell>
          <cell r="G233">
            <v>6.3863101762066083</v>
          </cell>
          <cell r="H233">
            <v>2.07766111038138</v>
          </cell>
          <cell r="I233">
            <v>2.0776611103813805</v>
          </cell>
          <cell r="J233">
            <v>0</v>
          </cell>
          <cell r="K233">
            <v>0</v>
          </cell>
          <cell r="L233">
            <v>0</v>
          </cell>
          <cell r="M233">
            <v>0</v>
          </cell>
          <cell r="N233">
            <v>0</v>
          </cell>
          <cell r="O233">
            <v>0</v>
          </cell>
          <cell r="P233">
            <v>0</v>
          </cell>
          <cell r="Q233">
            <v>4.0872385127722293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6.3863101762066083</v>
          </cell>
          <cell r="G235">
            <v>6.3863101762066083</v>
          </cell>
          <cell r="H235">
            <v>2.07766111038138</v>
          </cell>
          <cell r="I235">
            <v>2.0776611103813805</v>
          </cell>
          <cell r="J235">
            <v>0</v>
          </cell>
          <cell r="K235">
            <v>0</v>
          </cell>
          <cell r="L235">
            <v>0</v>
          </cell>
          <cell r="M235">
            <v>0</v>
          </cell>
          <cell r="N235">
            <v>0</v>
          </cell>
          <cell r="O235">
            <v>0</v>
          </cell>
          <cell r="P235">
            <v>0</v>
          </cell>
          <cell r="Q235">
            <v>4.0872385127722293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33.618731773911762</v>
          </cell>
          <cell r="G236">
            <v>33.618731773911762</v>
          </cell>
          <cell r="H236">
            <v>10.937196856994561</v>
          </cell>
          <cell r="I236">
            <v>10.937196856994563</v>
          </cell>
          <cell r="J236">
            <v>0</v>
          </cell>
          <cell r="K236">
            <v>0</v>
          </cell>
          <cell r="L236">
            <v>0</v>
          </cell>
          <cell r="M236">
            <v>0</v>
          </cell>
          <cell r="N236">
            <v>0</v>
          </cell>
          <cell r="O236">
            <v>0</v>
          </cell>
          <cell r="P236">
            <v>0</v>
          </cell>
          <cell r="Q236">
            <v>21.515988335303529</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7.6635722114479305</v>
          </cell>
          <cell r="G237">
            <v>7.6635722114479288</v>
          </cell>
          <cell r="H237">
            <v>2.4931933324576563</v>
          </cell>
          <cell r="I237">
            <v>2.4931933324576567</v>
          </cell>
          <cell r="J237">
            <v>0</v>
          </cell>
          <cell r="K237">
            <v>0</v>
          </cell>
          <cell r="L237">
            <v>0</v>
          </cell>
          <cell r="M237">
            <v>0</v>
          </cell>
          <cell r="N237">
            <v>0</v>
          </cell>
          <cell r="O237">
            <v>0</v>
          </cell>
          <cell r="P237">
            <v>0</v>
          </cell>
          <cell r="Q237">
            <v>4.9046862153266755</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5.9283601351863719</v>
          </cell>
          <cell r="G238">
            <v>5.9283601351863711</v>
          </cell>
          <cell r="H238">
            <v>1.9286760212652636</v>
          </cell>
          <cell r="I238">
            <v>1.9286760212652638</v>
          </cell>
          <cell r="J238">
            <v>0</v>
          </cell>
          <cell r="K238">
            <v>0</v>
          </cell>
          <cell r="L238">
            <v>0</v>
          </cell>
          <cell r="M238">
            <v>0</v>
          </cell>
          <cell r="N238">
            <v>0</v>
          </cell>
          <cell r="O238">
            <v>0</v>
          </cell>
          <cell r="P238">
            <v>0</v>
          </cell>
          <cell r="Q238">
            <v>3.7941504865192779</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4.5572709417410362</v>
          </cell>
          <cell r="G239">
            <v>4.5572709417410362</v>
          </cell>
          <cell r="H239">
            <v>1.4826189683681534</v>
          </cell>
          <cell r="I239">
            <v>1.4826189683681534</v>
          </cell>
          <cell r="J239">
            <v>0</v>
          </cell>
          <cell r="K239">
            <v>0</v>
          </cell>
          <cell r="L239">
            <v>0</v>
          </cell>
          <cell r="M239">
            <v>0</v>
          </cell>
          <cell r="N239">
            <v>0</v>
          </cell>
          <cell r="O239">
            <v>0</v>
          </cell>
          <cell r="P239">
            <v>0</v>
          </cell>
          <cell r="Q239">
            <v>2.9166534027142634</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3.1267374622707553</v>
          </cell>
          <cell r="G240">
            <v>3.1267374622707553</v>
          </cell>
          <cell r="H240">
            <v>1.0172228796427236</v>
          </cell>
          <cell r="I240">
            <v>1.0172228796427238</v>
          </cell>
          <cell r="J240">
            <v>0</v>
          </cell>
          <cell r="K240">
            <v>0</v>
          </cell>
          <cell r="L240">
            <v>0</v>
          </cell>
          <cell r="M240">
            <v>0</v>
          </cell>
          <cell r="N240">
            <v>0</v>
          </cell>
          <cell r="O240">
            <v>0</v>
          </cell>
          <cell r="P240">
            <v>0</v>
          </cell>
          <cell r="Q240">
            <v>2.0011119758532838</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12.342791023265669</v>
          </cell>
          <cell r="G241">
            <v>12.342791023265669</v>
          </cell>
          <cell r="H241">
            <v>4.0154856552607647</v>
          </cell>
          <cell r="I241">
            <v>4.0154856552607656</v>
          </cell>
          <cell r="J241">
            <v>0</v>
          </cell>
          <cell r="K241">
            <v>0</v>
          </cell>
          <cell r="L241">
            <v>0</v>
          </cell>
          <cell r="M241">
            <v>0</v>
          </cell>
          <cell r="N241">
            <v>0</v>
          </cell>
          <cell r="O241">
            <v>0</v>
          </cell>
          <cell r="P241">
            <v>0</v>
          </cell>
          <cell r="Q241">
            <v>7.899386254890028</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354.3430888462396</v>
          </cell>
          <cell r="G243">
            <v>354.3430888462396</v>
          </cell>
          <cell r="H243">
            <v>354.34308884623954</v>
          </cell>
          <cell r="I243">
            <v>354.34308884623965</v>
          </cell>
          <cell r="J243">
            <v>0</v>
          </cell>
          <cell r="K243">
            <v>0</v>
          </cell>
          <cell r="L243">
            <v>0</v>
          </cell>
          <cell r="M243">
            <v>0</v>
          </cell>
          <cell r="N243">
            <v>0</v>
          </cell>
          <cell r="O243">
            <v>0</v>
          </cell>
          <cell r="P243">
            <v>0</v>
          </cell>
          <cell r="Q243">
            <v>354.3430888462396</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70.845960797518288</v>
          </cell>
          <cell r="G244">
            <v>70.845960797518273</v>
          </cell>
          <cell r="H244">
            <v>70.845960797518288</v>
          </cell>
          <cell r="I244">
            <v>70.845960797518288</v>
          </cell>
          <cell r="J244">
            <v>0</v>
          </cell>
          <cell r="K244">
            <v>0</v>
          </cell>
          <cell r="L244">
            <v>0</v>
          </cell>
          <cell r="M244">
            <v>0</v>
          </cell>
          <cell r="N244">
            <v>0</v>
          </cell>
          <cell r="O244">
            <v>0</v>
          </cell>
          <cell r="P244">
            <v>0</v>
          </cell>
          <cell r="Q244">
            <v>70.845960797518288</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64.174244274831608</v>
          </cell>
          <cell r="G245">
            <v>64.174244274831608</v>
          </cell>
          <cell r="H245">
            <v>64.174244274831608</v>
          </cell>
          <cell r="I245">
            <v>64.174244274831608</v>
          </cell>
          <cell r="J245">
            <v>0</v>
          </cell>
          <cell r="K245">
            <v>0</v>
          </cell>
          <cell r="L245">
            <v>0</v>
          </cell>
          <cell r="M245">
            <v>0</v>
          </cell>
          <cell r="N245">
            <v>0</v>
          </cell>
          <cell r="O245">
            <v>0</v>
          </cell>
          <cell r="P245">
            <v>0</v>
          </cell>
          <cell r="Q245">
            <v>64.174244274831608</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6.6717165226866788</v>
          </cell>
          <cell r="G246">
            <v>6.6717165226866788</v>
          </cell>
          <cell r="H246">
            <v>6.6717165226866788</v>
          </cell>
          <cell r="I246">
            <v>6.6717165226866788</v>
          </cell>
          <cell r="J246">
            <v>0</v>
          </cell>
          <cell r="K246">
            <v>0</v>
          </cell>
          <cell r="L246">
            <v>0</v>
          </cell>
          <cell r="M246">
            <v>0</v>
          </cell>
          <cell r="N246">
            <v>0</v>
          </cell>
          <cell r="O246">
            <v>0</v>
          </cell>
          <cell r="P246">
            <v>0</v>
          </cell>
          <cell r="Q246">
            <v>6.6717165226866788</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241.29461264381067</v>
          </cell>
          <cell r="G247">
            <v>241.29461264381069</v>
          </cell>
          <cell r="H247">
            <v>241.29461264381067</v>
          </cell>
          <cell r="I247">
            <v>241.29461264381072</v>
          </cell>
          <cell r="J247">
            <v>0</v>
          </cell>
          <cell r="K247">
            <v>0</v>
          </cell>
          <cell r="L247">
            <v>0</v>
          </cell>
          <cell r="M247">
            <v>0</v>
          </cell>
          <cell r="N247">
            <v>0</v>
          </cell>
          <cell r="O247">
            <v>0</v>
          </cell>
          <cell r="P247">
            <v>0</v>
          </cell>
          <cell r="Q247">
            <v>241.29461264381075</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49.236267972395737</v>
          </cell>
          <cell r="G248">
            <v>49.23626797239573</v>
          </cell>
          <cell r="H248">
            <v>49.23626797239573</v>
          </cell>
          <cell r="I248">
            <v>49.23626797239573</v>
          </cell>
          <cell r="J248">
            <v>0</v>
          </cell>
          <cell r="K248">
            <v>0</v>
          </cell>
          <cell r="L248">
            <v>0</v>
          </cell>
          <cell r="M248">
            <v>0</v>
          </cell>
          <cell r="N248">
            <v>0</v>
          </cell>
          <cell r="O248">
            <v>0</v>
          </cell>
          <cell r="P248">
            <v>0</v>
          </cell>
          <cell r="Q248">
            <v>49.236267972395737</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117.03512498352988</v>
          </cell>
          <cell r="G249">
            <v>117.03512498352988</v>
          </cell>
          <cell r="H249">
            <v>117.03512498352987</v>
          </cell>
          <cell r="I249">
            <v>117.03512498352988</v>
          </cell>
          <cell r="J249">
            <v>0</v>
          </cell>
          <cell r="K249">
            <v>0</v>
          </cell>
          <cell r="L249">
            <v>0</v>
          </cell>
          <cell r="M249">
            <v>0</v>
          </cell>
          <cell r="N249">
            <v>0</v>
          </cell>
          <cell r="O249">
            <v>0</v>
          </cell>
          <cell r="P249">
            <v>0</v>
          </cell>
          <cell r="Q249">
            <v>117.03512498352988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40.178414239884042</v>
          </cell>
          <cell r="G251">
            <v>40.178414239884049</v>
          </cell>
          <cell r="H251">
            <v>40.178414239884049</v>
          </cell>
          <cell r="I251">
            <v>40.178414239884049</v>
          </cell>
          <cell r="J251">
            <v>0</v>
          </cell>
          <cell r="K251">
            <v>0</v>
          </cell>
          <cell r="L251">
            <v>0</v>
          </cell>
          <cell r="M251">
            <v>0</v>
          </cell>
          <cell r="N251">
            <v>0</v>
          </cell>
          <cell r="O251">
            <v>0</v>
          </cell>
          <cell r="P251">
            <v>0</v>
          </cell>
          <cell r="Q251">
            <v>40.178414239884049</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3.8973061812687519</v>
          </cell>
          <cell r="G252">
            <v>3.8973061812687519</v>
          </cell>
          <cell r="H252">
            <v>3.8973061812687519</v>
          </cell>
          <cell r="I252">
            <v>3.8973061812687519</v>
          </cell>
          <cell r="J252">
            <v>0</v>
          </cell>
          <cell r="K252">
            <v>0</v>
          </cell>
          <cell r="L252">
            <v>0</v>
          </cell>
          <cell r="M252">
            <v>0</v>
          </cell>
          <cell r="N252">
            <v>0</v>
          </cell>
          <cell r="O252">
            <v>0</v>
          </cell>
          <cell r="P252">
            <v>0</v>
          </cell>
          <cell r="Q252">
            <v>3.8973061812687519</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2.8124889967918829</v>
          </cell>
          <cell r="G254">
            <v>2.8124889967918829</v>
          </cell>
          <cell r="H254">
            <v>2.8124889967918829</v>
          </cell>
          <cell r="I254">
            <v>2.8124889967918829</v>
          </cell>
          <cell r="J254">
            <v>0</v>
          </cell>
          <cell r="K254">
            <v>0</v>
          </cell>
          <cell r="L254">
            <v>0</v>
          </cell>
          <cell r="M254">
            <v>0</v>
          </cell>
          <cell r="N254">
            <v>0</v>
          </cell>
          <cell r="O254">
            <v>0</v>
          </cell>
          <cell r="P254">
            <v>0</v>
          </cell>
          <cell r="Q254">
            <v>2.8124889967918829</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28.135010269940416</v>
          </cell>
          <cell r="G255">
            <v>28.13501026994042</v>
          </cell>
          <cell r="H255">
            <v>28.135010269940416</v>
          </cell>
          <cell r="I255">
            <v>28.135010269940416</v>
          </cell>
          <cell r="J255">
            <v>0</v>
          </cell>
          <cell r="K255">
            <v>0</v>
          </cell>
          <cell r="L255">
            <v>0</v>
          </cell>
          <cell r="M255">
            <v>0</v>
          </cell>
          <cell r="N255">
            <v>0</v>
          </cell>
          <cell r="O255">
            <v>0</v>
          </cell>
          <cell r="P255">
            <v>0</v>
          </cell>
          <cell r="Q255">
            <v>28.135010269940416</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42.202515404910628</v>
          </cell>
          <cell r="G256">
            <v>42.202515404910628</v>
          </cell>
          <cell r="H256">
            <v>42.202515404910628</v>
          </cell>
          <cell r="I256">
            <v>42.202515404910628</v>
          </cell>
          <cell r="J256">
            <v>0</v>
          </cell>
          <cell r="K256">
            <v>0</v>
          </cell>
          <cell r="L256">
            <v>0</v>
          </cell>
          <cell r="M256">
            <v>0</v>
          </cell>
          <cell r="N256">
            <v>0</v>
          </cell>
          <cell r="O256">
            <v>0</v>
          </cell>
          <cell r="P256">
            <v>0</v>
          </cell>
          <cell r="Q256">
            <v>42.202515404910628</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808.12452705949863</v>
          </cell>
          <cell r="G257">
            <v>996.23521778700297</v>
          </cell>
          <cell r="H257">
            <v>797.71036318040751</v>
          </cell>
          <cell r="I257">
            <v>804.20424836032953</v>
          </cell>
          <cell r="J257">
            <v>0</v>
          </cell>
          <cell r="K257">
            <v>0</v>
          </cell>
          <cell r="L257">
            <v>0</v>
          </cell>
          <cell r="M257">
            <v>0</v>
          </cell>
          <cell r="N257">
            <v>0</v>
          </cell>
          <cell r="O257">
            <v>0</v>
          </cell>
          <cell r="P257">
            <v>0</v>
          </cell>
          <cell r="Q257">
            <v>793.93711129727967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31.129536598031898</v>
          </cell>
          <cell r="G269">
            <v>31.129536598031898</v>
          </cell>
          <cell r="H269">
            <v>31.129536598031898</v>
          </cell>
          <cell r="I269">
            <v>31.129536598031898</v>
          </cell>
          <cell r="J269">
            <v>0</v>
          </cell>
          <cell r="K269">
            <v>0</v>
          </cell>
          <cell r="L269">
            <v>0</v>
          </cell>
          <cell r="M269">
            <v>0</v>
          </cell>
          <cell r="N269">
            <v>0</v>
          </cell>
          <cell r="O269">
            <v>0</v>
          </cell>
          <cell r="P269">
            <v>0</v>
          </cell>
          <cell r="Q269">
            <v>31.129536598031898</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31.129536598031898</v>
          </cell>
          <cell r="G273">
            <v>31.129536598031898</v>
          </cell>
          <cell r="H273">
            <v>31.129536598031898</v>
          </cell>
          <cell r="I273">
            <v>31.129536598031898</v>
          </cell>
          <cell r="J273">
            <v>0</v>
          </cell>
          <cell r="K273">
            <v>0</v>
          </cell>
          <cell r="L273">
            <v>0</v>
          </cell>
          <cell r="M273">
            <v>0</v>
          </cell>
          <cell r="N273">
            <v>0</v>
          </cell>
          <cell r="O273">
            <v>0</v>
          </cell>
          <cell r="P273">
            <v>0</v>
          </cell>
          <cell r="Q273">
            <v>31.129536598031898</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776.99499046146673</v>
          </cell>
          <cell r="G274">
            <v>965.10568118897095</v>
          </cell>
          <cell r="H274">
            <v>766.58082658237549</v>
          </cell>
          <cell r="I274">
            <v>773.07471176229762</v>
          </cell>
          <cell r="J274">
            <v>0</v>
          </cell>
          <cell r="K274">
            <v>0</v>
          </cell>
          <cell r="L274">
            <v>0</v>
          </cell>
          <cell r="M274">
            <v>0</v>
          </cell>
          <cell r="N274">
            <v>0</v>
          </cell>
          <cell r="O274">
            <v>0</v>
          </cell>
          <cell r="P274">
            <v>0</v>
          </cell>
          <cell r="Q274">
            <v>762.80757469924788</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738.00369158789022</v>
          </cell>
          <cell r="G275">
            <v>872.36847067896463</v>
          </cell>
          <cell r="H275">
            <v>730.38532444172358</v>
          </cell>
          <cell r="I275">
            <v>734.71458122833849</v>
          </cell>
          <cell r="J275">
            <v>0</v>
          </cell>
          <cell r="K275">
            <v>0</v>
          </cell>
          <cell r="L275">
            <v>0</v>
          </cell>
          <cell r="M275">
            <v>0</v>
          </cell>
          <cell r="N275">
            <v>0</v>
          </cell>
          <cell r="O275">
            <v>0</v>
          </cell>
          <cell r="P275">
            <v>0</v>
          </cell>
          <cell r="Q275">
            <v>727.86982318630521</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38.991298873576625</v>
          </cell>
          <cell r="G276">
            <v>92.737210510006435</v>
          </cell>
          <cell r="H276">
            <v>36.195502140651847</v>
          </cell>
          <cell r="I276">
            <v>38.360130533959207</v>
          </cell>
          <cell r="J276">
            <v>0</v>
          </cell>
          <cell r="K276">
            <v>0</v>
          </cell>
          <cell r="L276">
            <v>0</v>
          </cell>
          <cell r="M276">
            <v>0</v>
          </cell>
          <cell r="N276">
            <v>0</v>
          </cell>
          <cell r="O276">
            <v>0</v>
          </cell>
          <cell r="P276">
            <v>0</v>
          </cell>
          <cell r="Q276">
            <v>34.937751512942647</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90.007309195988441</v>
          </cell>
          <cell r="G278">
            <v>90.007309195988441</v>
          </cell>
          <cell r="H278">
            <v>90.007309195988427</v>
          </cell>
          <cell r="I278">
            <v>90.007309195988441</v>
          </cell>
          <cell r="J278">
            <v>0</v>
          </cell>
          <cell r="K278">
            <v>0</v>
          </cell>
          <cell r="L278">
            <v>0</v>
          </cell>
          <cell r="M278">
            <v>0</v>
          </cell>
          <cell r="N278">
            <v>0</v>
          </cell>
          <cell r="O278">
            <v>0</v>
          </cell>
          <cell r="P278">
            <v>0</v>
          </cell>
          <cell r="Q278">
            <v>90.007309195988412</v>
          </cell>
          <cell r="R278">
            <v>0</v>
          </cell>
          <cell r="S278">
            <v>0</v>
          </cell>
          <cell r="T278">
            <v>0</v>
          </cell>
          <cell r="U278">
            <v>0</v>
          </cell>
          <cell r="V278">
            <v>90.007309195988441</v>
          </cell>
          <cell r="W278">
            <v>90.007309195988441</v>
          </cell>
          <cell r="X278">
            <v>0</v>
          </cell>
          <cell r="Y278">
            <v>0</v>
          </cell>
          <cell r="Z278">
            <v>0</v>
          </cell>
          <cell r="AA278">
            <v>0</v>
          </cell>
          <cell r="AB278">
            <v>0</v>
          </cell>
          <cell r="AC278">
            <v>0</v>
          </cell>
          <cell r="AD278">
            <v>0</v>
          </cell>
          <cell r="AE278">
            <v>0</v>
          </cell>
          <cell r="AF278">
            <v>0</v>
          </cell>
        </row>
        <row r="279">
          <cell r="E279">
            <v>0</v>
          </cell>
          <cell r="F279">
            <v>23.584905660377363</v>
          </cell>
          <cell r="G279">
            <v>23.584905660377363</v>
          </cell>
          <cell r="H279">
            <v>23.584905660377359</v>
          </cell>
          <cell r="I279">
            <v>23.584905660377359</v>
          </cell>
          <cell r="J279">
            <v>0</v>
          </cell>
          <cell r="K279">
            <v>0</v>
          </cell>
          <cell r="L279">
            <v>0</v>
          </cell>
          <cell r="M279">
            <v>0</v>
          </cell>
          <cell r="N279">
            <v>0</v>
          </cell>
          <cell r="O279">
            <v>0</v>
          </cell>
          <cell r="P279">
            <v>0</v>
          </cell>
          <cell r="Q279">
            <v>23.584905660377355</v>
          </cell>
          <cell r="R279">
            <v>0</v>
          </cell>
          <cell r="S279">
            <v>0</v>
          </cell>
          <cell r="T279">
            <v>0</v>
          </cell>
          <cell r="U279">
            <v>0</v>
          </cell>
          <cell r="V279">
            <v>23.584905660377359</v>
          </cell>
          <cell r="W279">
            <v>23.584905660377359</v>
          </cell>
          <cell r="X279">
            <v>0</v>
          </cell>
          <cell r="Y279">
            <v>0</v>
          </cell>
          <cell r="Z279">
            <v>0</v>
          </cell>
          <cell r="AA279">
            <v>0</v>
          </cell>
          <cell r="AB279">
            <v>0</v>
          </cell>
          <cell r="AC279">
            <v>0</v>
          </cell>
          <cell r="AD279">
            <v>0</v>
          </cell>
          <cell r="AE279">
            <v>0</v>
          </cell>
          <cell r="AF279">
            <v>0</v>
          </cell>
        </row>
        <row r="280">
          <cell r="E280">
            <v>0</v>
          </cell>
          <cell r="F280">
            <v>4.716981132075472</v>
          </cell>
          <cell r="G280">
            <v>4.716981132075472</v>
          </cell>
          <cell r="H280">
            <v>4.7169811320754711</v>
          </cell>
          <cell r="I280">
            <v>4.7169811320754711</v>
          </cell>
          <cell r="J280">
            <v>0</v>
          </cell>
          <cell r="K280">
            <v>0</v>
          </cell>
          <cell r="L280">
            <v>0</v>
          </cell>
          <cell r="M280">
            <v>0</v>
          </cell>
          <cell r="N280">
            <v>0</v>
          </cell>
          <cell r="O280">
            <v>0</v>
          </cell>
          <cell r="P280">
            <v>0</v>
          </cell>
          <cell r="Q280">
            <v>4.716981132075472</v>
          </cell>
          <cell r="R280">
            <v>0</v>
          </cell>
          <cell r="S280">
            <v>0</v>
          </cell>
          <cell r="T280">
            <v>0</v>
          </cell>
          <cell r="U280">
            <v>0</v>
          </cell>
          <cell r="V280">
            <v>4.7169811320754711</v>
          </cell>
          <cell r="W280">
            <v>4.7169811320754711</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4.5045045045045047</v>
          </cell>
          <cell r="G283">
            <v>4.5045045045045047</v>
          </cell>
          <cell r="H283">
            <v>4.5045045045045038</v>
          </cell>
          <cell r="I283">
            <v>4.5045045045045038</v>
          </cell>
          <cell r="J283">
            <v>0</v>
          </cell>
          <cell r="K283">
            <v>0</v>
          </cell>
          <cell r="L283">
            <v>0</v>
          </cell>
          <cell r="M283">
            <v>0</v>
          </cell>
          <cell r="N283">
            <v>0</v>
          </cell>
          <cell r="O283">
            <v>0</v>
          </cell>
          <cell r="P283">
            <v>0</v>
          </cell>
          <cell r="Q283">
            <v>4.5045045045045038</v>
          </cell>
          <cell r="R283">
            <v>0</v>
          </cell>
          <cell r="S283">
            <v>0</v>
          </cell>
          <cell r="T283">
            <v>0</v>
          </cell>
          <cell r="U283">
            <v>0</v>
          </cell>
          <cell r="V283">
            <v>4.5045045045045038</v>
          </cell>
          <cell r="W283">
            <v>4.5045045045045038</v>
          </cell>
          <cell r="X283">
            <v>0</v>
          </cell>
          <cell r="Y283">
            <v>0</v>
          </cell>
          <cell r="Z283">
            <v>0</v>
          </cell>
          <cell r="AA283">
            <v>0</v>
          </cell>
          <cell r="AB283">
            <v>0</v>
          </cell>
          <cell r="AC283">
            <v>0</v>
          </cell>
          <cell r="AD283">
            <v>0</v>
          </cell>
          <cell r="AE283">
            <v>0</v>
          </cell>
          <cell r="AF283">
            <v>0</v>
          </cell>
        </row>
        <row r="284">
          <cell r="E284">
            <v>0</v>
          </cell>
          <cell r="F284">
            <v>40.540540540540547</v>
          </cell>
          <cell r="G284">
            <v>40.54054054054054</v>
          </cell>
          <cell r="H284">
            <v>40.54054054054054</v>
          </cell>
          <cell r="I284">
            <v>40.54054054054054</v>
          </cell>
          <cell r="J284">
            <v>0</v>
          </cell>
          <cell r="K284">
            <v>0</v>
          </cell>
          <cell r="L284">
            <v>0</v>
          </cell>
          <cell r="M284">
            <v>0</v>
          </cell>
          <cell r="N284">
            <v>0</v>
          </cell>
          <cell r="O284">
            <v>0</v>
          </cell>
          <cell r="P284">
            <v>0</v>
          </cell>
          <cell r="Q284">
            <v>40.54054054054054</v>
          </cell>
          <cell r="R284">
            <v>0</v>
          </cell>
          <cell r="S284">
            <v>0</v>
          </cell>
          <cell r="T284">
            <v>0</v>
          </cell>
          <cell r="U284">
            <v>0</v>
          </cell>
          <cell r="V284">
            <v>40.54054054054054</v>
          </cell>
          <cell r="W284">
            <v>40.54054054054054</v>
          </cell>
          <cell r="X284">
            <v>0</v>
          </cell>
          <cell r="Y284">
            <v>0</v>
          </cell>
          <cell r="Z284">
            <v>0</v>
          </cell>
          <cell r="AA284">
            <v>0</v>
          </cell>
          <cell r="AB284">
            <v>0</v>
          </cell>
          <cell r="AC284">
            <v>0</v>
          </cell>
          <cell r="AD284">
            <v>0</v>
          </cell>
          <cell r="AE284">
            <v>0</v>
          </cell>
          <cell r="AF284">
            <v>0</v>
          </cell>
        </row>
        <row r="285">
          <cell r="E285">
            <v>0</v>
          </cell>
          <cell r="F285">
            <v>4.716981132075472</v>
          </cell>
          <cell r="G285">
            <v>4.716981132075472</v>
          </cell>
          <cell r="H285">
            <v>4.7169811320754711</v>
          </cell>
          <cell r="I285">
            <v>4.7169811320754711</v>
          </cell>
          <cell r="J285">
            <v>0</v>
          </cell>
          <cell r="K285">
            <v>0</v>
          </cell>
          <cell r="L285">
            <v>0</v>
          </cell>
          <cell r="M285">
            <v>0</v>
          </cell>
          <cell r="N285">
            <v>0</v>
          </cell>
          <cell r="O285">
            <v>0</v>
          </cell>
          <cell r="P285">
            <v>0</v>
          </cell>
          <cell r="Q285">
            <v>4.716981132075472</v>
          </cell>
          <cell r="R285">
            <v>0</v>
          </cell>
          <cell r="S285">
            <v>0</v>
          </cell>
          <cell r="T285">
            <v>0</v>
          </cell>
          <cell r="U285">
            <v>0</v>
          </cell>
          <cell r="V285">
            <v>4.7169811320754711</v>
          </cell>
          <cell r="W285">
            <v>4.7169811320754711</v>
          </cell>
          <cell r="X285">
            <v>0</v>
          </cell>
          <cell r="Y285">
            <v>0</v>
          </cell>
          <cell r="Z285">
            <v>0</v>
          </cell>
          <cell r="AA285">
            <v>0</v>
          </cell>
          <cell r="AB285">
            <v>0</v>
          </cell>
          <cell r="AC285">
            <v>0</v>
          </cell>
          <cell r="AD285">
            <v>0</v>
          </cell>
          <cell r="AE285">
            <v>0</v>
          </cell>
          <cell r="AF285">
            <v>0</v>
          </cell>
        </row>
        <row r="286">
          <cell r="E286">
            <v>0</v>
          </cell>
          <cell r="F286">
            <v>11.943396226415093</v>
          </cell>
          <cell r="G286">
            <v>11.943396226415095</v>
          </cell>
          <cell r="H286">
            <v>11.943396226415091</v>
          </cell>
          <cell r="I286">
            <v>11.943396226415093</v>
          </cell>
          <cell r="J286">
            <v>0</v>
          </cell>
          <cell r="K286">
            <v>0</v>
          </cell>
          <cell r="L286">
            <v>0</v>
          </cell>
          <cell r="M286">
            <v>0</v>
          </cell>
          <cell r="N286">
            <v>0</v>
          </cell>
          <cell r="O286">
            <v>0</v>
          </cell>
          <cell r="P286">
            <v>0</v>
          </cell>
          <cell r="Q286">
            <v>11.943396226415093</v>
          </cell>
          <cell r="R286">
            <v>0</v>
          </cell>
          <cell r="S286">
            <v>0</v>
          </cell>
          <cell r="T286">
            <v>0</v>
          </cell>
          <cell r="U286">
            <v>0</v>
          </cell>
          <cell r="V286">
            <v>11.943396226415095</v>
          </cell>
          <cell r="W286">
            <v>11.943396226415095</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7413.0325761945132</v>
          </cell>
          <cell r="G296">
            <v>7413.0325761945123</v>
          </cell>
          <cell r="H296">
            <v>3826.7606806825261</v>
          </cell>
          <cell r="I296">
            <v>3826.7606806825256</v>
          </cell>
          <cell r="J296">
            <v>0</v>
          </cell>
          <cell r="K296">
            <v>0</v>
          </cell>
          <cell r="L296">
            <v>0</v>
          </cell>
          <cell r="M296">
            <v>0</v>
          </cell>
          <cell r="N296">
            <v>0</v>
          </cell>
          <cell r="O296">
            <v>0</v>
          </cell>
          <cell r="P296">
            <v>0</v>
          </cell>
          <cell r="Q296">
            <v>8309.6005500725096</v>
          </cell>
          <cell r="R296">
            <v>0</v>
          </cell>
          <cell r="S296">
            <v>0</v>
          </cell>
          <cell r="T296">
            <v>0</v>
          </cell>
          <cell r="U296">
            <v>0</v>
          </cell>
          <cell r="V296">
            <v>240.4887851705395</v>
          </cell>
          <cell r="W296">
            <v>0</v>
          </cell>
          <cell r="X296">
            <v>0</v>
          </cell>
          <cell r="Y296">
            <v>0</v>
          </cell>
          <cell r="Z296">
            <v>0</v>
          </cell>
          <cell r="AA296">
            <v>0</v>
          </cell>
          <cell r="AB296">
            <v>0</v>
          </cell>
          <cell r="AC296">
            <v>0</v>
          </cell>
          <cell r="AD296">
            <v>0</v>
          </cell>
          <cell r="AE296">
            <v>0</v>
          </cell>
          <cell r="AF296">
            <v>0</v>
          </cell>
        </row>
        <row r="297">
          <cell r="E297">
            <v>0</v>
          </cell>
          <cell r="F297">
            <v>240.48878517053947</v>
          </cell>
          <cell r="G297">
            <v>240.4887851705395</v>
          </cell>
          <cell r="H297">
            <v>240.4887851705395</v>
          </cell>
          <cell r="I297">
            <v>240.4887851705395</v>
          </cell>
          <cell r="J297">
            <v>0</v>
          </cell>
          <cell r="K297">
            <v>0</v>
          </cell>
          <cell r="L297">
            <v>0</v>
          </cell>
          <cell r="M297">
            <v>0</v>
          </cell>
          <cell r="N297">
            <v>0</v>
          </cell>
          <cell r="O297">
            <v>0</v>
          </cell>
          <cell r="P297">
            <v>0</v>
          </cell>
          <cell r="Q297">
            <v>240.48878517053947</v>
          </cell>
          <cell r="R297">
            <v>0</v>
          </cell>
          <cell r="S297">
            <v>0</v>
          </cell>
          <cell r="T297">
            <v>0</v>
          </cell>
          <cell r="U297">
            <v>0</v>
          </cell>
          <cell r="V297">
            <v>240.4887851705395</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row>
        <row r="300">
          <cell r="E300">
            <v>0</v>
          </cell>
          <cell r="F300">
            <v>4045.4331157758179</v>
          </cell>
          <cell r="G300">
            <v>4106.141470400893</v>
          </cell>
          <cell r="H300">
            <v>1533.1581417715311</v>
          </cell>
          <cell r="I300">
            <v>1468.8079189719772</v>
          </cell>
          <cell r="J300">
            <v>0</v>
          </cell>
          <cell r="K300">
            <v>0</v>
          </cell>
          <cell r="L300">
            <v>0</v>
          </cell>
          <cell r="M300">
            <v>0</v>
          </cell>
          <cell r="N300">
            <v>0</v>
          </cell>
          <cell r="O300">
            <v>0</v>
          </cell>
          <cell r="P300">
            <v>0</v>
          </cell>
          <cell r="Q300">
            <v>5636.4116983448848</v>
          </cell>
          <cell r="R300">
            <v>0</v>
          </cell>
          <cell r="S300">
            <v>0</v>
          </cell>
          <cell r="T300">
            <v>0</v>
          </cell>
          <cell r="U300">
            <v>0</v>
          </cell>
          <cell r="V300">
            <v>-60.122196292634875</v>
          </cell>
          <cell r="W300">
            <v>0</v>
          </cell>
          <cell r="X300">
            <v>0</v>
          </cell>
          <cell r="Y300">
            <v>0</v>
          </cell>
          <cell r="Z300">
            <v>0</v>
          </cell>
          <cell r="AA300">
            <v>0</v>
          </cell>
          <cell r="AB300">
            <v>0</v>
          </cell>
          <cell r="AC300">
            <v>0</v>
          </cell>
          <cell r="AD300">
            <v>0</v>
          </cell>
          <cell r="AE300">
            <v>0</v>
          </cell>
          <cell r="AF300">
            <v>0</v>
          </cell>
        </row>
        <row r="301">
          <cell r="E301">
            <v>0</v>
          </cell>
          <cell r="F301">
            <v>31482.947094990264</v>
          </cell>
          <cell r="G301">
            <v>31300.822031115029</v>
          </cell>
          <cell r="H301">
            <v>14795.72281781066</v>
          </cell>
          <cell r="I301">
            <v>14988.773486209326</v>
          </cell>
          <cell r="J301">
            <v>0</v>
          </cell>
          <cell r="K301">
            <v>0</v>
          </cell>
          <cell r="L301">
            <v>0</v>
          </cell>
          <cell r="M301">
            <v>0</v>
          </cell>
          <cell r="N301">
            <v>0</v>
          </cell>
          <cell r="O301">
            <v>0</v>
          </cell>
          <cell r="P301">
            <v>0</v>
          </cell>
          <cell r="Q301">
            <v>27903.011430553015</v>
          </cell>
          <cell r="R301">
            <v>0</v>
          </cell>
          <cell r="S301">
            <v>0</v>
          </cell>
          <cell r="T301">
            <v>0</v>
          </cell>
          <cell r="U301">
            <v>0</v>
          </cell>
          <cell r="V301">
            <v>3118.2733697305216</v>
          </cell>
          <cell r="W301">
            <v>3679.7380370390852</v>
          </cell>
          <cell r="X301">
            <v>0</v>
          </cell>
          <cell r="Y301">
            <v>0</v>
          </cell>
          <cell r="Z301">
            <v>0</v>
          </cell>
          <cell r="AA301">
            <v>0</v>
          </cell>
          <cell r="AB301">
            <v>0</v>
          </cell>
          <cell r="AC301">
            <v>0</v>
          </cell>
          <cell r="AD301">
            <v>0</v>
          </cell>
          <cell r="AE301">
            <v>0</v>
          </cell>
          <cell r="AF301">
            <v>0</v>
          </cell>
        </row>
        <row r="302">
          <cell r="E302">
            <v>0</v>
          </cell>
          <cell r="F302">
            <v>20024.481403019934</v>
          </cell>
          <cell r="G302">
            <v>19781.647984519623</v>
          </cell>
          <cell r="H302">
            <v>9435.8039953566022</v>
          </cell>
          <cell r="I302">
            <v>9693.2048865548222</v>
          </cell>
          <cell r="J302">
            <v>0</v>
          </cell>
          <cell r="K302">
            <v>0</v>
          </cell>
          <cell r="L302">
            <v>0</v>
          </cell>
          <cell r="M302">
            <v>0</v>
          </cell>
          <cell r="N302">
            <v>0</v>
          </cell>
          <cell r="O302">
            <v>0</v>
          </cell>
          <cell r="P302">
            <v>0</v>
          </cell>
          <cell r="Q302">
            <v>13956.999182135622</v>
          </cell>
          <cell r="R302">
            <v>0</v>
          </cell>
          <cell r="S302">
            <v>0</v>
          </cell>
          <cell r="T302">
            <v>0</v>
          </cell>
          <cell r="U302">
            <v>0</v>
          </cell>
          <cell r="V302">
            <v>2937.906780852617</v>
          </cell>
          <cell r="W302">
            <v>3679.7380370390852</v>
          </cell>
          <cell r="X302">
            <v>0</v>
          </cell>
          <cell r="Y302">
            <v>0</v>
          </cell>
          <cell r="Z302">
            <v>0</v>
          </cell>
          <cell r="AA302">
            <v>0</v>
          </cell>
          <cell r="AB302">
            <v>0</v>
          </cell>
          <cell r="AC302">
            <v>0</v>
          </cell>
          <cell r="AD302">
            <v>0</v>
          </cell>
          <cell r="AE302">
            <v>0</v>
          </cell>
          <cell r="AF302">
            <v>0</v>
          </cell>
        </row>
      </sheetData>
      <sheetData sheetId="14"/>
      <sheetData sheetId="15">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12031.250502234119</v>
          </cell>
          <cell r="G162">
            <v>12031.250502234116</v>
          </cell>
          <cell r="H162">
            <v>3914.1320399498836</v>
          </cell>
          <cell r="I162">
            <v>3914.1320399498845</v>
          </cell>
          <cell r="J162">
            <v>0</v>
          </cell>
          <cell r="K162">
            <v>0</v>
          </cell>
          <cell r="L162">
            <v>0</v>
          </cell>
          <cell r="M162">
            <v>0</v>
          </cell>
          <cell r="N162">
            <v>0</v>
          </cell>
          <cell r="O162">
            <v>0</v>
          </cell>
          <cell r="P162">
            <v>0</v>
          </cell>
          <cell r="Q162">
            <v>7700.000321429834</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2832.6271099159344</v>
          </cell>
          <cell r="G164">
            <v>2832.6271099159339</v>
          </cell>
          <cell r="H164">
            <v>921.53982880613887</v>
          </cell>
          <cell r="I164">
            <v>921.53982880613898</v>
          </cell>
          <cell r="J164">
            <v>0</v>
          </cell>
          <cell r="K164">
            <v>0</v>
          </cell>
          <cell r="L164">
            <v>0</v>
          </cell>
          <cell r="M164">
            <v>0</v>
          </cell>
          <cell r="N164">
            <v>0</v>
          </cell>
          <cell r="O164">
            <v>0</v>
          </cell>
          <cell r="P164">
            <v>0</v>
          </cell>
          <cell r="Q164">
            <v>1812.8813503461979</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576.789540672611</v>
          </cell>
          <cell r="G169">
            <v>576.78954067261088</v>
          </cell>
          <cell r="H169">
            <v>335.29958560656212</v>
          </cell>
          <cell r="I169">
            <v>335.29958560656212</v>
          </cell>
          <cell r="J169">
            <v>0</v>
          </cell>
          <cell r="K169">
            <v>0</v>
          </cell>
          <cell r="L169">
            <v>0</v>
          </cell>
          <cell r="M169">
            <v>0</v>
          </cell>
          <cell r="N169">
            <v>0</v>
          </cell>
          <cell r="O169">
            <v>0</v>
          </cell>
          <cell r="P169">
            <v>0</v>
          </cell>
          <cell r="Q169">
            <v>447.9318165427722</v>
          </cell>
          <cell r="R169">
            <v>0</v>
          </cell>
          <cell r="S169">
            <v>0</v>
          </cell>
          <cell r="T169">
            <v>0</v>
          </cell>
          <cell r="U169">
            <v>0</v>
          </cell>
          <cell r="V169">
            <v>218.85141808972583</v>
          </cell>
          <cell r="W169">
            <v>218.8514180897258</v>
          </cell>
          <cell r="X169">
            <v>0</v>
          </cell>
          <cell r="Y169">
            <v>0</v>
          </cell>
          <cell r="Z169">
            <v>0</v>
          </cell>
          <cell r="AA169">
            <v>0</v>
          </cell>
          <cell r="AB169">
            <v>0</v>
          </cell>
          <cell r="AC169">
            <v>0</v>
          </cell>
          <cell r="AD169">
            <v>0</v>
          </cell>
          <cell r="AE169">
            <v>0</v>
          </cell>
          <cell r="AF169">
            <v>0</v>
          </cell>
        </row>
        <row r="170">
          <cell r="E170">
            <v>0</v>
          </cell>
          <cell r="F170">
            <v>115.46023136551563</v>
          </cell>
          <cell r="G170">
            <v>115.46023136551558</v>
          </cell>
          <cell r="H170">
            <v>115.46023136551561</v>
          </cell>
          <cell r="I170">
            <v>115.4602313655156</v>
          </cell>
          <cell r="J170">
            <v>0</v>
          </cell>
          <cell r="K170">
            <v>0</v>
          </cell>
          <cell r="L170">
            <v>0</v>
          </cell>
          <cell r="M170">
            <v>0</v>
          </cell>
          <cell r="N170">
            <v>0</v>
          </cell>
          <cell r="O170">
            <v>0</v>
          </cell>
          <cell r="P170">
            <v>0</v>
          </cell>
          <cell r="Q170">
            <v>115.46023136551561</v>
          </cell>
          <cell r="R170">
            <v>0</v>
          </cell>
          <cell r="S170">
            <v>0</v>
          </cell>
          <cell r="T170">
            <v>0</v>
          </cell>
          <cell r="U170">
            <v>0</v>
          </cell>
          <cell r="V170">
            <v>115.46023136551558</v>
          </cell>
          <cell r="W170">
            <v>115.4602313655156</v>
          </cell>
          <cell r="X170">
            <v>0</v>
          </cell>
          <cell r="Y170">
            <v>0</v>
          </cell>
          <cell r="Z170">
            <v>0</v>
          </cell>
          <cell r="AA170">
            <v>0</v>
          </cell>
          <cell r="AB170">
            <v>0</v>
          </cell>
          <cell r="AC170">
            <v>0</v>
          </cell>
          <cell r="AD170">
            <v>0</v>
          </cell>
          <cell r="AE170">
            <v>0</v>
          </cell>
          <cell r="AF170">
            <v>0</v>
          </cell>
        </row>
        <row r="171">
          <cell r="E171">
            <v>0</v>
          </cell>
          <cell r="F171">
            <v>93.515448390942083</v>
          </cell>
          <cell r="G171">
            <v>93.515448390942055</v>
          </cell>
          <cell r="H171">
            <v>93.515448390942055</v>
          </cell>
          <cell r="I171">
            <v>93.515448390942055</v>
          </cell>
          <cell r="J171">
            <v>0</v>
          </cell>
          <cell r="K171">
            <v>0</v>
          </cell>
          <cell r="L171">
            <v>0</v>
          </cell>
          <cell r="M171">
            <v>0</v>
          </cell>
          <cell r="N171">
            <v>0</v>
          </cell>
          <cell r="O171">
            <v>0</v>
          </cell>
          <cell r="P171">
            <v>0</v>
          </cell>
          <cell r="Q171">
            <v>93.515448390942069</v>
          </cell>
          <cell r="R171">
            <v>0</v>
          </cell>
          <cell r="S171">
            <v>0</v>
          </cell>
          <cell r="T171">
            <v>0</v>
          </cell>
          <cell r="U171">
            <v>0</v>
          </cell>
          <cell r="V171">
            <v>93.515448390942069</v>
          </cell>
          <cell r="W171">
            <v>93.515448390942083</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65.191861507712886</v>
          </cell>
          <cell r="G177">
            <v>65.1918615077129</v>
          </cell>
          <cell r="H177">
            <v>65.191861507712886</v>
          </cell>
          <cell r="I177">
            <v>65.191861507712886</v>
          </cell>
          <cell r="J177">
            <v>0</v>
          </cell>
          <cell r="K177">
            <v>0</v>
          </cell>
          <cell r="L177">
            <v>0</v>
          </cell>
          <cell r="M177">
            <v>0</v>
          </cell>
          <cell r="N177">
            <v>0</v>
          </cell>
          <cell r="O177">
            <v>0</v>
          </cell>
          <cell r="P177">
            <v>0</v>
          </cell>
          <cell r="Q177">
            <v>65.191861507712886</v>
          </cell>
          <cell r="R177">
            <v>0</v>
          </cell>
          <cell r="S177">
            <v>0</v>
          </cell>
          <cell r="T177">
            <v>0</v>
          </cell>
          <cell r="U177">
            <v>0</v>
          </cell>
          <cell r="V177">
            <v>65.191861507712886</v>
          </cell>
          <cell r="W177">
            <v>65.191861507712886</v>
          </cell>
          <cell r="X177">
            <v>0</v>
          </cell>
          <cell r="Y177">
            <v>0</v>
          </cell>
          <cell r="Z177">
            <v>0</v>
          </cell>
          <cell r="AA177">
            <v>0</v>
          </cell>
          <cell r="AB177">
            <v>0</v>
          </cell>
          <cell r="AC177">
            <v>0</v>
          </cell>
          <cell r="AD177">
            <v>0</v>
          </cell>
          <cell r="AE177">
            <v>0</v>
          </cell>
          <cell r="AF177">
            <v>0</v>
          </cell>
        </row>
        <row r="178">
          <cell r="E178">
            <v>0</v>
          </cell>
          <cell r="F178">
            <v>21.944782974573538</v>
          </cell>
          <cell r="G178">
            <v>21.944782974573542</v>
          </cell>
          <cell r="H178">
            <v>21.944782974573538</v>
          </cell>
          <cell r="I178">
            <v>21.944782974573538</v>
          </cell>
          <cell r="J178">
            <v>0</v>
          </cell>
          <cell r="K178">
            <v>0</v>
          </cell>
          <cell r="L178">
            <v>0</v>
          </cell>
          <cell r="M178">
            <v>0</v>
          </cell>
          <cell r="N178">
            <v>0</v>
          </cell>
          <cell r="O178">
            <v>0</v>
          </cell>
          <cell r="P178">
            <v>0</v>
          </cell>
          <cell r="Q178">
            <v>21.944782974573542</v>
          </cell>
          <cell r="R178">
            <v>0</v>
          </cell>
          <cell r="S178">
            <v>0</v>
          </cell>
          <cell r="T178">
            <v>0</v>
          </cell>
          <cell r="U178">
            <v>0</v>
          </cell>
          <cell r="V178">
            <v>21.944782974573538</v>
          </cell>
          <cell r="W178">
            <v>21.944782974573538</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468.77120933318491</v>
          </cell>
          <cell r="G180">
            <v>468.77120933318491</v>
          </cell>
          <cell r="H180">
            <v>220.19009452201087</v>
          </cell>
          <cell r="I180">
            <v>220.19009452201098</v>
          </cell>
          <cell r="J180">
            <v>0</v>
          </cell>
          <cell r="K180">
            <v>0</v>
          </cell>
          <cell r="L180">
            <v>0</v>
          </cell>
          <cell r="M180">
            <v>0</v>
          </cell>
          <cell r="N180">
            <v>0</v>
          </cell>
          <cell r="O180">
            <v>0</v>
          </cell>
          <cell r="P180">
            <v>0</v>
          </cell>
          <cell r="Q180">
            <v>336.12968100350685</v>
          </cell>
          <cell r="R180">
            <v>0</v>
          </cell>
          <cell r="S180">
            <v>0</v>
          </cell>
          <cell r="T180">
            <v>0</v>
          </cell>
          <cell r="U180">
            <v>0</v>
          </cell>
          <cell r="V180">
            <v>100.32251952852351</v>
          </cell>
          <cell r="W180">
            <v>100.3225195285235</v>
          </cell>
          <cell r="X180">
            <v>0</v>
          </cell>
          <cell r="Y180">
            <v>0</v>
          </cell>
          <cell r="Z180">
            <v>0</v>
          </cell>
          <cell r="AA180">
            <v>0</v>
          </cell>
          <cell r="AB180">
            <v>0</v>
          </cell>
          <cell r="AC180">
            <v>0</v>
          </cell>
          <cell r="AD180">
            <v>0</v>
          </cell>
          <cell r="AE180">
            <v>0</v>
          </cell>
          <cell r="AF180">
            <v>0</v>
          </cell>
        </row>
        <row r="181">
          <cell r="E181">
            <v>0</v>
          </cell>
          <cell r="F181">
            <v>8.2524100742651481</v>
          </cell>
          <cell r="G181">
            <v>8.2524100742651481</v>
          </cell>
          <cell r="H181">
            <v>8.2524100742651481</v>
          </cell>
          <cell r="I181">
            <v>8.2524100742651481</v>
          </cell>
          <cell r="J181">
            <v>0</v>
          </cell>
          <cell r="K181">
            <v>0</v>
          </cell>
          <cell r="L181">
            <v>0</v>
          </cell>
          <cell r="M181">
            <v>0</v>
          </cell>
          <cell r="N181">
            <v>0</v>
          </cell>
          <cell r="O181">
            <v>0</v>
          </cell>
          <cell r="P181">
            <v>0</v>
          </cell>
          <cell r="Q181">
            <v>8.2524100742651463</v>
          </cell>
          <cell r="R181">
            <v>0</v>
          </cell>
          <cell r="S181">
            <v>0</v>
          </cell>
          <cell r="T181">
            <v>0</v>
          </cell>
          <cell r="U181">
            <v>0</v>
          </cell>
          <cell r="V181">
            <v>8.2524100742651463</v>
          </cell>
          <cell r="W181">
            <v>8.2524100742651481</v>
          </cell>
          <cell r="X181">
            <v>0</v>
          </cell>
          <cell r="Y181">
            <v>0</v>
          </cell>
          <cell r="Z181">
            <v>0</v>
          </cell>
          <cell r="AA181">
            <v>0</v>
          </cell>
          <cell r="AB181">
            <v>0</v>
          </cell>
          <cell r="AC181">
            <v>0</v>
          </cell>
          <cell r="AD181">
            <v>0</v>
          </cell>
          <cell r="AE181">
            <v>0</v>
          </cell>
          <cell r="AF181">
            <v>0</v>
          </cell>
        </row>
        <row r="182">
          <cell r="E182">
            <v>0</v>
          </cell>
          <cell r="F182">
            <v>374.85397515613857</v>
          </cell>
          <cell r="G182">
            <v>374.85397515613852</v>
          </cell>
          <cell r="H182">
            <v>121.95140930602066</v>
          </cell>
          <cell r="I182">
            <v>121.95140930602068</v>
          </cell>
          <cell r="J182">
            <v>0</v>
          </cell>
          <cell r="K182">
            <v>0</v>
          </cell>
          <cell r="L182">
            <v>0</v>
          </cell>
          <cell r="M182">
            <v>0</v>
          </cell>
          <cell r="N182">
            <v>0</v>
          </cell>
          <cell r="O182">
            <v>0</v>
          </cell>
          <cell r="P182">
            <v>0</v>
          </cell>
          <cell r="Q182">
            <v>239.90654409992865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13.580206542656079</v>
          </cell>
          <cell r="G183">
            <v>13.580206542656081</v>
          </cell>
          <cell r="H183">
            <v>13.580206542656077</v>
          </cell>
          <cell r="I183">
            <v>13.580206542656079</v>
          </cell>
          <cell r="J183">
            <v>0</v>
          </cell>
          <cell r="K183">
            <v>0</v>
          </cell>
          <cell r="L183">
            <v>0</v>
          </cell>
          <cell r="M183">
            <v>0</v>
          </cell>
          <cell r="N183">
            <v>0</v>
          </cell>
          <cell r="O183">
            <v>0</v>
          </cell>
          <cell r="P183">
            <v>0</v>
          </cell>
          <cell r="Q183">
            <v>13.580206542656077</v>
          </cell>
          <cell r="R183">
            <v>0</v>
          </cell>
          <cell r="S183">
            <v>0</v>
          </cell>
          <cell r="T183">
            <v>0</v>
          </cell>
          <cell r="U183">
            <v>0</v>
          </cell>
          <cell r="V183">
            <v>13.580206542656079</v>
          </cell>
          <cell r="W183">
            <v>13.580206542656077</v>
          </cell>
          <cell r="X183">
            <v>0</v>
          </cell>
          <cell r="Y183">
            <v>0</v>
          </cell>
          <cell r="Z183">
            <v>0</v>
          </cell>
          <cell r="AA183">
            <v>0</v>
          </cell>
          <cell r="AB183">
            <v>0</v>
          </cell>
          <cell r="AC183">
            <v>0</v>
          </cell>
          <cell r="AD183">
            <v>0</v>
          </cell>
          <cell r="AE183">
            <v>0</v>
          </cell>
          <cell r="AF183">
            <v>0</v>
          </cell>
        </row>
        <row r="184">
          <cell r="E184">
            <v>0</v>
          </cell>
          <cell r="F184">
            <v>19.585854199875907</v>
          </cell>
          <cell r="G184">
            <v>19.585854199875904</v>
          </cell>
          <cell r="H184">
            <v>19.585854199875904</v>
          </cell>
          <cell r="I184">
            <v>19.585854199875904</v>
          </cell>
          <cell r="J184">
            <v>0</v>
          </cell>
          <cell r="K184">
            <v>0</v>
          </cell>
          <cell r="L184">
            <v>0</v>
          </cell>
          <cell r="M184">
            <v>0</v>
          </cell>
          <cell r="N184">
            <v>0</v>
          </cell>
          <cell r="O184">
            <v>0</v>
          </cell>
          <cell r="P184">
            <v>0</v>
          </cell>
          <cell r="Q184">
            <v>19.585854199875904</v>
          </cell>
          <cell r="R184">
            <v>0</v>
          </cell>
          <cell r="S184">
            <v>0</v>
          </cell>
          <cell r="T184">
            <v>0</v>
          </cell>
          <cell r="U184">
            <v>0</v>
          </cell>
          <cell r="V184">
            <v>19.5858541998759</v>
          </cell>
          <cell r="W184">
            <v>19.585854199875904</v>
          </cell>
          <cell r="X184">
            <v>0</v>
          </cell>
          <cell r="Y184">
            <v>0</v>
          </cell>
          <cell r="Z184">
            <v>0</v>
          </cell>
          <cell r="AA184">
            <v>0</v>
          </cell>
          <cell r="AB184">
            <v>0</v>
          </cell>
          <cell r="AC184">
            <v>0</v>
          </cell>
          <cell r="AD184">
            <v>0</v>
          </cell>
          <cell r="AE184">
            <v>0</v>
          </cell>
          <cell r="AF184">
            <v>0</v>
          </cell>
        </row>
        <row r="185">
          <cell r="E185">
            <v>0</v>
          </cell>
          <cell r="F185">
            <v>57.033960388009021</v>
          </cell>
          <cell r="G185">
            <v>57.033960388009035</v>
          </cell>
          <cell r="H185">
            <v>57.033960388009021</v>
          </cell>
          <cell r="I185">
            <v>57.033960388009021</v>
          </cell>
          <cell r="J185">
            <v>0</v>
          </cell>
          <cell r="K185">
            <v>0</v>
          </cell>
          <cell r="L185">
            <v>0</v>
          </cell>
          <cell r="M185">
            <v>0</v>
          </cell>
          <cell r="N185">
            <v>0</v>
          </cell>
          <cell r="O185">
            <v>0</v>
          </cell>
          <cell r="P185">
            <v>0</v>
          </cell>
          <cell r="Q185">
            <v>57.033960388009021</v>
          </cell>
          <cell r="R185">
            <v>0</v>
          </cell>
          <cell r="S185">
            <v>0</v>
          </cell>
          <cell r="T185">
            <v>0</v>
          </cell>
          <cell r="U185">
            <v>0</v>
          </cell>
          <cell r="V185">
            <v>57.033960388009021</v>
          </cell>
          <cell r="W185">
            <v>57.033960388009021</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3693.3734588381308</v>
          </cell>
          <cell r="G187">
            <v>3215.025497595263</v>
          </cell>
          <cell r="H187">
            <v>2763.0998486396925</v>
          </cell>
          <cell r="I187">
            <v>3041.6066253200029</v>
          </cell>
          <cell r="J187">
            <v>0</v>
          </cell>
          <cell r="K187">
            <v>0</v>
          </cell>
          <cell r="L187">
            <v>0</v>
          </cell>
          <cell r="M187">
            <v>0</v>
          </cell>
          <cell r="N187">
            <v>0</v>
          </cell>
          <cell r="O187">
            <v>0</v>
          </cell>
          <cell r="P187">
            <v>0</v>
          </cell>
          <cell r="Q187">
            <v>1742.9678756608898</v>
          </cell>
          <cell r="R187">
            <v>0</v>
          </cell>
          <cell r="S187">
            <v>0</v>
          </cell>
          <cell r="T187">
            <v>0</v>
          </cell>
          <cell r="U187">
            <v>0</v>
          </cell>
          <cell r="V187">
            <v>2703.6053777441048</v>
          </cell>
          <cell r="W187">
            <v>3604.3301309800381</v>
          </cell>
          <cell r="X187">
            <v>0</v>
          </cell>
          <cell r="Y187">
            <v>0</v>
          </cell>
          <cell r="Z187">
            <v>0</v>
          </cell>
          <cell r="AA187">
            <v>0</v>
          </cell>
          <cell r="AB187">
            <v>0</v>
          </cell>
          <cell r="AC187">
            <v>0</v>
          </cell>
          <cell r="AD187">
            <v>0</v>
          </cell>
          <cell r="AE187">
            <v>0</v>
          </cell>
          <cell r="AF187">
            <v>0</v>
          </cell>
        </row>
        <row r="188">
          <cell r="E188">
            <v>0</v>
          </cell>
          <cell r="F188">
            <v>2478.6704650670054</v>
          </cell>
          <cell r="G188">
            <v>2005.6051668445527</v>
          </cell>
          <cell r="H188">
            <v>1889.8632284979979</v>
          </cell>
          <cell r="I188">
            <v>2141.5504980264645</v>
          </cell>
          <cell r="J188">
            <v>0</v>
          </cell>
          <cell r="K188">
            <v>0</v>
          </cell>
          <cell r="L188">
            <v>0</v>
          </cell>
          <cell r="M188">
            <v>0</v>
          </cell>
          <cell r="N188">
            <v>0</v>
          </cell>
          <cell r="O188">
            <v>0</v>
          </cell>
          <cell r="P188">
            <v>0</v>
          </cell>
          <cell r="Q188">
            <v>1600.3449999999996</v>
          </cell>
          <cell r="R188">
            <v>0</v>
          </cell>
          <cell r="S188">
            <v>0</v>
          </cell>
          <cell r="T188">
            <v>0</v>
          </cell>
          <cell r="U188">
            <v>0</v>
          </cell>
          <cell r="V188">
            <v>2395.982502083215</v>
          </cell>
          <cell r="W188">
            <v>3296.7072553191483</v>
          </cell>
          <cell r="X188">
            <v>0</v>
          </cell>
          <cell r="Y188">
            <v>0</v>
          </cell>
          <cell r="Z188">
            <v>0</v>
          </cell>
          <cell r="AA188">
            <v>0</v>
          </cell>
          <cell r="AB188">
            <v>0</v>
          </cell>
          <cell r="AC188">
            <v>0</v>
          </cell>
          <cell r="AD188">
            <v>0</v>
          </cell>
          <cell r="AE188">
            <v>0</v>
          </cell>
          <cell r="AF188">
            <v>0</v>
          </cell>
        </row>
        <row r="189">
          <cell r="E189">
            <v>0</v>
          </cell>
          <cell r="F189">
            <v>101.36417863431501</v>
          </cell>
          <cell r="G189">
            <v>102.36417863431501</v>
          </cell>
          <cell r="H189">
            <v>97.009</v>
          </cell>
          <cell r="I189">
            <v>97.009</v>
          </cell>
          <cell r="J189">
            <v>0</v>
          </cell>
          <cell r="K189">
            <v>0</v>
          </cell>
          <cell r="L189">
            <v>0</v>
          </cell>
          <cell r="M189">
            <v>0</v>
          </cell>
          <cell r="N189">
            <v>0</v>
          </cell>
          <cell r="O189">
            <v>0</v>
          </cell>
          <cell r="P189">
            <v>0</v>
          </cell>
          <cell r="Q189">
            <v>105.985</v>
          </cell>
          <cell r="R189">
            <v>0</v>
          </cell>
          <cell r="S189">
            <v>0</v>
          </cell>
          <cell r="T189">
            <v>0</v>
          </cell>
          <cell r="U189">
            <v>0</v>
          </cell>
          <cell r="V189">
            <v>190.40250208321558</v>
          </cell>
          <cell r="W189">
            <v>208.12725531914896</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2190.5799999999995</v>
          </cell>
          <cell r="W190">
            <v>3073.5800000000004</v>
          </cell>
          <cell r="X190">
            <v>0</v>
          </cell>
          <cell r="Y190">
            <v>0</v>
          </cell>
          <cell r="Z190">
            <v>0</v>
          </cell>
          <cell r="AA190">
            <v>0</v>
          </cell>
          <cell r="AB190">
            <v>0</v>
          </cell>
          <cell r="AC190">
            <v>0</v>
          </cell>
          <cell r="AD190">
            <v>0</v>
          </cell>
          <cell r="AE190">
            <v>0</v>
          </cell>
          <cell r="AF190">
            <v>0</v>
          </cell>
        </row>
        <row r="191">
          <cell r="E191">
            <v>0</v>
          </cell>
          <cell r="F191">
            <v>1499.4769163539511</v>
          </cell>
          <cell r="G191">
            <v>1498.4769163539513</v>
          </cell>
          <cell r="H191">
            <v>1289.57</v>
          </cell>
          <cell r="I191">
            <v>1290.0100000000002</v>
          </cell>
          <cell r="J191">
            <v>0</v>
          </cell>
          <cell r="K191">
            <v>0</v>
          </cell>
          <cell r="L191">
            <v>0</v>
          </cell>
          <cell r="M191">
            <v>0</v>
          </cell>
          <cell r="N191">
            <v>0</v>
          </cell>
          <cell r="O191">
            <v>0</v>
          </cell>
          <cell r="P191">
            <v>0</v>
          </cell>
          <cell r="Q191">
            <v>1371.81</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187.03937007874015</v>
          </cell>
          <cell r="G192">
            <v>176.96407185628743</v>
          </cell>
          <cell r="H192">
            <v>178.26588946088827</v>
          </cell>
          <cell r="I192">
            <v>174.90883535233459</v>
          </cell>
          <cell r="J192">
            <v>0</v>
          </cell>
          <cell r="K192">
            <v>0</v>
          </cell>
          <cell r="L192">
            <v>0</v>
          </cell>
          <cell r="M192">
            <v>0</v>
          </cell>
          <cell r="N192">
            <v>0</v>
          </cell>
          <cell r="O192">
            <v>0</v>
          </cell>
          <cell r="P192">
            <v>0</v>
          </cell>
          <cell r="Q192">
            <v>119.70000000000002</v>
          </cell>
          <cell r="R192">
            <v>0</v>
          </cell>
          <cell r="S192">
            <v>0</v>
          </cell>
          <cell r="T192">
            <v>0</v>
          </cell>
          <cell r="U192">
            <v>0</v>
          </cell>
          <cell r="V192">
            <v>14.999999999999998</v>
          </cell>
          <cell r="W192">
            <v>15</v>
          </cell>
          <cell r="X192">
            <v>0</v>
          </cell>
          <cell r="Y192">
            <v>0</v>
          </cell>
          <cell r="Z192">
            <v>0</v>
          </cell>
          <cell r="AA192">
            <v>0</v>
          </cell>
          <cell r="AB192">
            <v>0</v>
          </cell>
          <cell r="AC192">
            <v>0</v>
          </cell>
          <cell r="AD192">
            <v>0</v>
          </cell>
          <cell r="AE192">
            <v>0</v>
          </cell>
          <cell r="AF192">
            <v>0</v>
          </cell>
        </row>
        <row r="193">
          <cell r="E193">
            <v>0</v>
          </cell>
          <cell r="F193">
            <v>0</v>
          </cell>
          <cell r="G193">
            <v>0</v>
          </cell>
          <cell r="H193">
            <v>117.83696787028845</v>
          </cell>
          <cell r="I193">
            <v>121.74988492876106</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142.20000000000002</v>
          </cell>
          <cell r="G194">
            <v>140.4</v>
          </cell>
          <cell r="H194">
            <v>178.16401978796782</v>
          </cell>
          <cell r="I194">
            <v>428.85542636651553</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548.59</v>
          </cell>
          <cell r="G195">
            <v>87.40000000000002</v>
          </cell>
          <cell r="H195">
            <v>29.017351378853821</v>
          </cell>
          <cell r="I195">
            <v>29.017351378853821</v>
          </cell>
          <cell r="J195">
            <v>0</v>
          </cell>
          <cell r="K195">
            <v>0</v>
          </cell>
          <cell r="L195">
            <v>0</v>
          </cell>
          <cell r="M195">
            <v>0</v>
          </cell>
          <cell r="N195">
            <v>0</v>
          </cell>
          <cell r="O195">
            <v>0</v>
          </cell>
          <cell r="P195">
            <v>0</v>
          </cell>
          <cell r="Q195">
            <v>2.8499999999999996</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1084.0249999999999</v>
          </cell>
          <cell r="G196">
            <v>1084.0249999999996</v>
          </cell>
          <cell r="H196">
            <v>690.29950000000019</v>
          </cell>
          <cell r="I196">
            <v>690.29950000000008</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579.59999999999991</v>
          </cell>
          <cell r="G197">
            <v>579.59999999999991</v>
          </cell>
          <cell r="H197">
            <v>304.50000000000011</v>
          </cell>
          <cell r="I197">
            <v>304.5</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229.42500000000001</v>
          </cell>
          <cell r="G198">
            <v>229.42499999999998</v>
          </cell>
          <cell r="H198">
            <v>157.50000000000003</v>
          </cell>
          <cell r="I198">
            <v>157.5</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200</v>
          </cell>
          <cell r="G199">
            <v>200</v>
          </cell>
          <cell r="H199">
            <v>167.99999999999997</v>
          </cell>
          <cell r="I199">
            <v>167.99999999999997</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74.999999999999986</v>
          </cell>
          <cell r="G200">
            <v>74.999999999999986</v>
          </cell>
          <cell r="H200">
            <v>60.299499999999988</v>
          </cell>
          <cell r="I200">
            <v>60.299499999999988</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130.67799377112681</v>
          </cell>
          <cell r="G201">
            <v>125.39533075071097</v>
          </cell>
          <cell r="H201">
            <v>182.9371201416958</v>
          </cell>
          <cell r="I201">
            <v>209.75662729353846</v>
          </cell>
          <cell r="J201">
            <v>0</v>
          </cell>
          <cell r="K201">
            <v>0</v>
          </cell>
          <cell r="L201">
            <v>0</v>
          </cell>
          <cell r="M201">
            <v>0</v>
          </cell>
          <cell r="N201">
            <v>0</v>
          </cell>
          <cell r="O201">
            <v>0</v>
          </cell>
          <cell r="P201">
            <v>0</v>
          </cell>
          <cell r="Q201">
            <v>142.62287566089057</v>
          </cell>
          <cell r="R201">
            <v>0</v>
          </cell>
          <cell r="S201">
            <v>0</v>
          </cell>
          <cell r="T201">
            <v>0</v>
          </cell>
          <cell r="U201">
            <v>0</v>
          </cell>
          <cell r="V201">
            <v>307.62287566089071</v>
          </cell>
          <cell r="W201">
            <v>307.62287566089066</v>
          </cell>
          <cell r="X201">
            <v>0</v>
          </cell>
          <cell r="Y201">
            <v>0</v>
          </cell>
          <cell r="Z201">
            <v>0</v>
          </cell>
          <cell r="AA201">
            <v>0</v>
          </cell>
          <cell r="AB201">
            <v>0</v>
          </cell>
          <cell r="AC201">
            <v>0</v>
          </cell>
          <cell r="AD201">
            <v>0</v>
          </cell>
          <cell r="AE201">
            <v>0</v>
          </cell>
          <cell r="AF201">
            <v>0</v>
          </cell>
        </row>
        <row r="202">
          <cell r="E202">
            <v>0</v>
          </cell>
          <cell r="F202">
            <v>102.00000000000004</v>
          </cell>
          <cell r="G202">
            <v>102.00000000000004</v>
          </cell>
          <cell r="H202">
            <v>94.000000000000028</v>
          </cell>
          <cell r="I202">
            <v>120.24219359575217</v>
          </cell>
          <cell r="J202">
            <v>0</v>
          </cell>
          <cell r="K202">
            <v>0</v>
          </cell>
          <cell r="L202">
            <v>0</v>
          </cell>
          <cell r="M202">
            <v>0</v>
          </cell>
          <cell r="N202">
            <v>0</v>
          </cell>
          <cell r="O202">
            <v>0</v>
          </cell>
          <cell r="P202">
            <v>0</v>
          </cell>
          <cell r="Q202">
            <v>136.00000000000006</v>
          </cell>
          <cell r="R202">
            <v>0</v>
          </cell>
          <cell r="S202">
            <v>0</v>
          </cell>
          <cell r="T202">
            <v>0</v>
          </cell>
          <cell r="U202">
            <v>0</v>
          </cell>
          <cell r="V202">
            <v>301.00000000000017</v>
          </cell>
          <cell r="W202">
            <v>301.00000000000011</v>
          </cell>
          <cell r="X202">
            <v>0</v>
          </cell>
          <cell r="Y202">
            <v>0</v>
          </cell>
          <cell r="Z202">
            <v>0</v>
          </cell>
          <cell r="AA202">
            <v>0</v>
          </cell>
          <cell r="AB202">
            <v>0</v>
          </cell>
          <cell r="AC202">
            <v>0</v>
          </cell>
          <cell r="AD202">
            <v>0</v>
          </cell>
          <cell r="AE202">
            <v>0</v>
          </cell>
          <cell r="AF202">
            <v>0</v>
          </cell>
        </row>
        <row r="203">
          <cell r="E203">
            <v>0</v>
          </cell>
          <cell r="F203">
            <v>41.999999999999993</v>
          </cell>
          <cell r="G203">
            <v>41.999999999999993</v>
          </cell>
          <cell r="H203">
            <v>29.999999999999996</v>
          </cell>
          <cell r="I203">
            <v>29.999999999999996</v>
          </cell>
          <cell r="J203">
            <v>0</v>
          </cell>
          <cell r="K203">
            <v>0</v>
          </cell>
          <cell r="L203">
            <v>0</v>
          </cell>
          <cell r="M203">
            <v>0</v>
          </cell>
          <cell r="N203">
            <v>0</v>
          </cell>
          <cell r="O203">
            <v>0</v>
          </cell>
          <cell r="P203">
            <v>0</v>
          </cell>
          <cell r="Q203">
            <v>30</v>
          </cell>
          <cell r="R203">
            <v>0</v>
          </cell>
          <cell r="S203">
            <v>0</v>
          </cell>
          <cell r="T203">
            <v>0</v>
          </cell>
          <cell r="U203">
            <v>0</v>
          </cell>
          <cell r="V203">
            <v>35</v>
          </cell>
          <cell r="W203">
            <v>35</v>
          </cell>
          <cell r="X203">
            <v>0</v>
          </cell>
          <cell r="Y203">
            <v>0</v>
          </cell>
          <cell r="Z203">
            <v>0</v>
          </cell>
          <cell r="AA203">
            <v>0</v>
          </cell>
          <cell r="AB203">
            <v>0</v>
          </cell>
          <cell r="AC203">
            <v>0</v>
          </cell>
          <cell r="AD203">
            <v>0</v>
          </cell>
          <cell r="AE203">
            <v>0</v>
          </cell>
          <cell r="AF203">
            <v>0</v>
          </cell>
        </row>
        <row r="204">
          <cell r="E204">
            <v>0</v>
          </cell>
          <cell r="F204">
            <v>41</v>
          </cell>
          <cell r="G204">
            <v>41</v>
          </cell>
          <cell r="H204">
            <v>38</v>
          </cell>
          <cell r="I204">
            <v>38</v>
          </cell>
          <cell r="J204">
            <v>0</v>
          </cell>
          <cell r="K204">
            <v>0</v>
          </cell>
          <cell r="L204">
            <v>0</v>
          </cell>
          <cell r="M204">
            <v>0</v>
          </cell>
          <cell r="N204">
            <v>0</v>
          </cell>
          <cell r="O204">
            <v>0</v>
          </cell>
          <cell r="P204">
            <v>0</v>
          </cell>
          <cell r="Q204">
            <v>48</v>
          </cell>
          <cell r="R204">
            <v>0</v>
          </cell>
          <cell r="S204">
            <v>0</v>
          </cell>
          <cell r="T204">
            <v>0</v>
          </cell>
          <cell r="U204">
            <v>0</v>
          </cell>
          <cell r="V204">
            <v>79</v>
          </cell>
          <cell r="W204">
            <v>79</v>
          </cell>
          <cell r="X204">
            <v>0</v>
          </cell>
          <cell r="Y204">
            <v>0</v>
          </cell>
          <cell r="Z204">
            <v>0</v>
          </cell>
          <cell r="AA204">
            <v>0</v>
          </cell>
          <cell r="AB204">
            <v>0</v>
          </cell>
          <cell r="AC204">
            <v>0</v>
          </cell>
          <cell r="AD204">
            <v>0</v>
          </cell>
          <cell r="AE204">
            <v>0</v>
          </cell>
          <cell r="AF204">
            <v>0</v>
          </cell>
        </row>
        <row r="205">
          <cell r="E205">
            <v>0</v>
          </cell>
          <cell r="F205">
            <v>7</v>
          </cell>
          <cell r="G205">
            <v>7</v>
          </cell>
          <cell r="H205">
            <v>18</v>
          </cell>
          <cell r="I205">
            <v>18</v>
          </cell>
          <cell r="J205">
            <v>0</v>
          </cell>
          <cell r="K205">
            <v>0</v>
          </cell>
          <cell r="L205">
            <v>0</v>
          </cell>
          <cell r="M205">
            <v>0</v>
          </cell>
          <cell r="N205">
            <v>0</v>
          </cell>
          <cell r="O205">
            <v>0</v>
          </cell>
          <cell r="P205">
            <v>0</v>
          </cell>
          <cell r="Q205">
            <v>50</v>
          </cell>
          <cell r="R205">
            <v>0</v>
          </cell>
          <cell r="S205">
            <v>0</v>
          </cell>
          <cell r="T205">
            <v>0</v>
          </cell>
          <cell r="U205">
            <v>0</v>
          </cell>
          <cell r="V205">
            <v>110.00000000000001</v>
          </cell>
          <cell r="W205">
            <v>110</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70.000000000000014</v>
          </cell>
          <cell r="W206">
            <v>70.000000000000014</v>
          </cell>
          <cell r="X206">
            <v>0</v>
          </cell>
          <cell r="Y206">
            <v>0</v>
          </cell>
          <cell r="Z206">
            <v>0</v>
          </cell>
          <cell r="AA206">
            <v>0</v>
          </cell>
          <cell r="AB206">
            <v>0</v>
          </cell>
          <cell r="AC206">
            <v>0</v>
          </cell>
          <cell r="AD206">
            <v>0</v>
          </cell>
          <cell r="AE206">
            <v>0</v>
          </cell>
          <cell r="AF206">
            <v>0</v>
          </cell>
        </row>
        <row r="207">
          <cell r="E207">
            <v>0</v>
          </cell>
          <cell r="F207">
            <v>12</v>
          </cell>
          <cell r="G207">
            <v>12</v>
          </cell>
          <cell r="H207">
            <v>8</v>
          </cell>
          <cell r="I207">
            <v>34.242193595752127</v>
          </cell>
          <cell r="J207">
            <v>0</v>
          </cell>
          <cell r="K207">
            <v>0</v>
          </cell>
          <cell r="L207">
            <v>0</v>
          </cell>
          <cell r="M207">
            <v>0</v>
          </cell>
          <cell r="N207">
            <v>0</v>
          </cell>
          <cell r="O207">
            <v>0</v>
          </cell>
          <cell r="P207">
            <v>0</v>
          </cell>
          <cell r="Q207">
            <v>8</v>
          </cell>
          <cell r="R207">
            <v>0</v>
          </cell>
          <cell r="S207">
            <v>0</v>
          </cell>
          <cell r="T207">
            <v>0</v>
          </cell>
          <cell r="U207">
            <v>0</v>
          </cell>
          <cell r="V207">
            <v>7.0000000000000009</v>
          </cell>
          <cell r="W207">
            <v>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22.055118110236222</v>
          </cell>
          <cell r="G210">
            <v>16.772455089820358</v>
          </cell>
          <cell r="H210">
            <v>18.492384057618377</v>
          </cell>
          <cell r="I210">
            <v>14.597792404025915</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63.821860423186806</v>
          </cell>
          <cell r="I211">
            <v>68.293765632869793</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6.6228756608905535</v>
          </cell>
          <cell r="G213">
            <v>6.6228756608905535</v>
          </cell>
          <cell r="H213">
            <v>6.6228756608905517</v>
          </cell>
          <cell r="I213">
            <v>6.6228756608905517</v>
          </cell>
          <cell r="J213">
            <v>0</v>
          </cell>
          <cell r="K213">
            <v>0</v>
          </cell>
          <cell r="L213">
            <v>0</v>
          </cell>
          <cell r="M213">
            <v>0</v>
          </cell>
          <cell r="N213">
            <v>0</v>
          </cell>
          <cell r="O213">
            <v>0</v>
          </cell>
          <cell r="P213">
            <v>0</v>
          </cell>
          <cell r="Q213">
            <v>6.6228756608905535</v>
          </cell>
          <cell r="R213">
            <v>0</v>
          </cell>
          <cell r="S213">
            <v>0</v>
          </cell>
          <cell r="T213">
            <v>0</v>
          </cell>
          <cell r="U213">
            <v>0</v>
          </cell>
          <cell r="V213">
            <v>6.6228756608905535</v>
          </cell>
          <cell r="W213">
            <v>6.6228756608905535</v>
          </cell>
          <cell r="X213">
            <v>0</v>
          </cell>
          <cell r="Y213">
            <v>0</v>
          </cell>
          <cell r="Z213">
            <v>0</v>
          </cell>
          <cell r="AA213">
            <v>0</v>
          </cell>
          <cell r="AB213">
            <v>0</v>
          </cell>
          <cell r="AC213">
            <v>0</v>
          </cell>
          <cell r="AD213">
            <v>0</v>
          </cell>
          <cell r="AE213">
            <v>0</v>
          </cell>
          <cell r="AF213">
            <v>0</v>
          </cell>
        </row>
        <row r="214">
          <cell r="E214">
            <v>0</v>
          </cell>
          <cell r="F214">
            <v>715.03764531106629</v>
          </cell>
          <cell r="G214">
            <v>715.03764531106594</v>
          </cell>
          <cell r="H214">
            <v>232.62351297254233</v>
          </cell>
          <cell r="I214">
            <v>232.6235129725423</v>
          </cell>
          <cell r="J214">
            <v>0</v>
          </cell>
          <cell r="K214">
            <v>0</v>
          </cell>
          <cell r="L214">
            <v>0</v>
          </cell>
          <cell r="M214">
            <v>0</v>
          </cell>
          <cell r="N214">
            <v>0</v>
          </cell>
          <cell r="O214">
            <v>0</v>
          </cell>
          <cell r="P214">
            <v>0</v>
          </cell>
          <cell r="Q214">
            <v>457.62409299908234</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163.62378075079303</v>
          </cell>
          <cell r="G215">
            <v>163.62378075079303</v>
          </cell>
          <cell r="H215">
            <v>53.231796862303554</v>
          </cell>
          <cell r="I215">
            <v>53.231796862303561</v>
          </cell>
          <cell r="J215">
            <v>0</v>
          </cell>
          <cell r="K215">
            <v>0</v>
          </cell>
          <cell r="L215">
            <v>0</v>
          </cell>
          <cell r="M215">
            <v>0</v>
          </cell>
          <cell r="N215">
            <v>0</v>
          </cell>
          <cell r="O215">
            <v>0</v>
          </cell>
          <cell r="P215">
            <v>0</v>
          </cell>
          <cell r="Q215">
            <v>104.71921968050755</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33.260669754905159</v>
          </cell>
          <cell r="G216">
            <v>33.260669754905159</v>
          </cell>
          <cell r="H216">
            <v>10.820708382199472</v>
          </cell>
          <cell r="I216">
            <v>10.820708382199474</v>
          </cell>
          <cell r="J216">
            <v>0</v>
          </cell>
          <cell r="K216">
            <v>0</v>
          </cell>
          <cell r="L216">
            <v>0</v>
          </cell>
          <cell r="M216">
            <v>0</v>
          </cell>
          <cell r="N216">
            <v>0</v>
          </cell>
          <cell r="O216">
            <v>0</v>
          </cell>
          <cell r="P216">
            <v>0</v>
          </cell>
          <cell r="Q216">
            <v>21.286828643139302</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47.849428995228017</v>
          </cell>
          <cell r="G218">
            <v>47.849428995228003</v>
          </cell>
          <cell r="H218">
            <v>15.566875869532492</v>
          </cell>
          <cell r="I218">
            <v>15.566875869532494</v>
          </cell>
          <cell r="J218">
            <v>0</v>
          </cell>
          <cell r="K218">
            <v>0</v>
          </cell>
          <cell r="L218">
            <v>0</v>
          </cell>
          <cell r="M218">
            <v>0</v>
          </cell>
          <cell r="N218">
            <v>0</v>
          </cell>
          <cell r="O218">
            <v>0</v>
          </cell>
          <cell r="P218">
            <v>0</v>
          </cell>
          <cell r="Q218">
            <v>30.62363455694593</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9.7825499279132835</v>
          </cell>
          <cell r="G220">
            <v>9.7825499279132835</v>
          </cell>
          <cell r="H220">
            <v>3.1825612888821984</v>
          </cell>
          <cell r="I220">
            <v>3.1825612888821988</v>
          </cell>
          <cell r="J220">
            <v>0</v>
          </cell>
          <cell r="K220">
            <v>0</v>
          </cell>
          <cell r="L220">
            <v>0</v>
          </cell>
          <cell r="M220">
            <v>0</v>
          </cell>
          <cell r="N220">
            <v>0</v>
          </cell>
          <cell r="O220">
            <v>0</v>
          </cell>
          <cell r="P220">
            <v>0</v>
          </cell>
          <cell r="Q220">
            <v>6.2608319538645016</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14.886489020737603</v>
          </cell>
          <cell r="G221">
            <v>14.886489020737603</v>
          </cell>
          <cell r="H221">
            <v>4.8430280482989962</v>
          </cell>
          <cell r="I221">
            <v>4.8430280482989971</v>
          </cell>
          <cell r="J221">
            <v>0</v>
          </cell>
          <cell r="K221">
            <v>0</v>
          </cell>
          <cell r="L221">
            <v>0</v>
          </cell>
          <cell r="M221">
            <v>0</v>
          </cell>
          <cell r="N221">
            <v>0</v>
          </cell>
          <cell r="O221">
            <v>0</v>
          </cell>
          <cell r="P221">
            <v>0</v>
          </cell>
          <cell r="Q221">
            <v>9.5273529732720661</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57.844643052008976</v>
          </cell>
          <cell r="G222">
            <v>57.844643052008976</v>
          </cell>
          <cell r="H222">
            <v>18.818623273390386</v>
          </cell>
          <cell r="I222">
            <v>18.81862327339039</v>
          </cell>
          <cell r="J222">
            <v>0</v>
          </cell>
          <cell r="K222">
            <v>0</v>
          </cell>
          <cell r="L222">
            <v>0</v>
          </cell>
          <cell r="M222">
            <v>0</v>
          </cell>
          <cell r="N222">
            <v>0</v>
          </cell>
          <cell r="O222">
            <v>0</v>
          </cell>
          <cell r="P222">
            <v>0</v>
          </cell>
          <cell r="Q222">
            <v>37.020571553285748</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273.52208652070158</v>
          </cell>
          <cell r="G223">
            <v>273.52208652070152</v>
          </cell>
          <cell r="H223">
            <v>88.985061219182413</v>
          </cell>
          <cell r="I223">
            <v>88.985061219182427</v>
          </cell>
          <cell r="J223">
            <v>0</v>
          </cell>
          <cell r="K223">
            <v>0</v>
          </cell>
          <cell r="L223">
            <v>0</v>
          </cell>
          <cell r="M223">
            <v>0</v>
          </cell>
          <cell r="N223">
            <v>0</v>
          </cell>
          <cell r="O223">
            <v>0</v>
          </cell>
          <cell r="P223">
            <v>0</v>
          </cell>
          <cell r="Q223">
            <v>175.05413537324904</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29.182367222783888</v>
          </cell>
          <cell r="G224">
            <v>29.182367222783888</v>
          </cell>
          <cell r="H224">
            <v>9.4939124180874792</v>
          </cell>
          <cell r="I224">
            <v>9.4939124180874828</v>
          </cell>
          <cell r="J224">
            <v>0</v>
          </cell>
          <cell r="K224">
            <v>0</v>
          </cell>
          <cell r="L224">
            <v>0</v>
          </cell>
          <cell r="M224">
            <v>0</v>
          </cell>
          <cell r="N224">
            <v>0</v>
          </cell>
          <cell r="O224">
            <v>0</v>
          </cell>
          <cell r="P224">
            <v>0</v>
          </cell>
          <cell r="Q224">
            <v>18.676715022581689</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227.8369828977857</v>
          </cell>
          <cell r="G225">
            <v>227.83698289778567</v>
          </cell>
          <cell r="H225">
            <v>74.122306278980631</v>
          </cell>
          <cell r="I225">
            <v>74.122306278980645</v>
          </cell>
          <cell r="J225">
            <v>0</v>
          </cell>
          <cell r="K225">
            <v>0</v>
          </cell>
          <cell r="L225">
            <v>0</v>
          </cell>
          <cell r="M225">
            <v>0</v>
          </cell>
          <cell r="N225">
            <v>0</v>
          </cell>
          <cell r="O225">
            <v>0</v>
          </cell>
          <cell r="P225">
            <v>0</v>
          </cell>
          <cell r="Q225">
            <v>145.81566905458283</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16.502736400131969</v>
          </cell>
          <cell r="G227">
            <v>16.502736400131969</v>
          </cell>
          <cell r="H227">
            <v>5.3688425221143161</v>
          </cell>
          <cell r="I227">
            <v>5.3688425221143179</v>
          </cell>
          <cell r="J227">
            <v>0</v>
          </cell>
          <cell r="K227">
            <v>0</v>
          </cell>
          <cell r="L227">
            <v>0</v>
          </cell>
          <cell r="M227">
            <v>0</v>
          </cell>
          <cell r="N227">
            <v>0</v>
          </cell>
          <cell r="O227">
            <v>0</v>
          </cell>
          <cell r="P227">
            <v>0</v>
          </cell>
          <cell r="Q227">
            <v>10.561751296084461</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233.48618147493988</v>
          </cell>
          <cell r="G229">
            <v>233.48618147493985</v>
          </cell>
          <cell r="H229">
            <v>75.960162547268993</v>
          </cell>
          <cell r="I229">
            <v>75.960162547268993</v>
          </cell>
          <cell r="J229">
            <v>0</v>
          </cell>
          <cell r="K229">
            <v>0</v>
          </cell>
          <cell r="L229">
            <v>0</v>
          </cell>
          <cell r="M229">
            <v>0</v>
          </cell>
          <cell r="N229">
            <v>0</v>
          </cell>
          <cell r="O229">
            <v>0</v>
          </cell>
          <cell r="P229">
            <v>0</v>
          </cell>
          <cell r="Q229">
            <v>149.43115614396152</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51.732378258571444</v>
          </cell>
          <cell r="G230">
            <v>51.732378258571437</v>
          </cell>
          <cell r="H230">
            <v>16.830117468427808</v>
          </cell>
          <cell r="I230">
            <v>16.830117468427812</v>
          </cell>
          <cell r="J230">
            <v>0</v>
          </cell>
          <cell r="K230">
            <v>0</v>
          </cell>
          <cell r="L230">
            <v>0</v>
          </cell>
          <cell r="M230">
            <v>0</v>
          </cell>
          <cell r="N230">
            <v>0</v>
          </cell>
          <cell r="O230">
            <v>0</v>
          </cell>
          <cell r="P230">
            <v>0</v>
          </cell>
          <cell r="Q230">
            <v>33.108722085485724</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158.22012701235118</v>
          </cell>
          <cell r="G231">
            <v>158.22012701235118</v>
          </cell>
          <cell r="H231">
            <v>51.473823804847669</v>
          </cell>
          <cell r="I231">
            <v>51.473823804847676</v>
          </cell>
          <cell r="J231">
            <v>0</v>
          </cell>
          <cell r="K231">
            <v>0</v>
          </cell>
          <cell r="L231">
            <v>0</v>
          </cell>
          <cell r="M231">
            <v>0</v>
          </cell>
          <cell r="N231">
            <v>0</v>
          </cell>
          <cell r="O231">
            <v>0</v>
          </cell>
          <cell r="P231">
            <v>0</v>
          </cell>
          <cell r="Q231">
            <v>101.26088128790478</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23.533676204017272</v>
          </cell>
          <cell r="G232">
            <v>23.533676204017269</v>
          </cell>
          <cell r="H232">
            <v>7.6562212739935269</v>
          </cell>
          <cell r="I232">
            <v>7.6562212739935287</v>
          </cell>
          <cell r="J232">
            <v>0</v>
          </cell>
          <cell r="K232">
            <v>0</v>
          </cell>
          <cell r="L232">
            <v>0</v>
          </cell>
          <cell r="M232">
            <v>0</v>
          </cell>
          <cell r="N232">
            <v>0</v>
          </cell>
          <cell r="O232">
            <v>0</v>
          </cell>
          <cell r="P232">
            <v>0</v>
          </cell>
          <cell r="Q232">
            <v>15.061552770571053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7.0888042955893349</v>
          </cell>
          <cell r="G233">
            <v>7.0888042955893349</v>
          </cell>
          <cell r="H233">
            <v>2.3062038325233316</v>
          </cell>
          <cell r="I233">
            <v>2.3062038325233321</v>
          </cell>
          <cell r="J233">
            <v>0</v>
          </cell>
          <cell r="K233">
            <v>0</v>
          </cell>
          <cell r="L233">
            <v>0</v>
          </cell>
          <cell r="M233">
            <v>0</v>
          </cell>
          <cell r="N233">
            <v>0</v>
          </cell>
          <cell r="O233">
            <v>0</v>
          </cell>
          <cell r="P233">
            <v>0</v>
          </cell>
          <cell r="Q233">
            <v>4.5368347491771743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7.0888042955893349</v>
          </cell>
          <cell r="G235">
            <v>7.0888042955893349</v>
          </cell>
          <cell r="H235">
            <v>2.3062038325233316</v>
          </cell>
          <cell r="I235">
            <v>2.3062038325233321</v>
          </cell>
          <cell r="J235">
            <v>0</v>
          </cell>
          <cell r="K235">
            <v>0</v>
          </cell>
          <cell r="L235">
            <v>0</v>
          </cell>
          <cell r="M235">
            <v>0</v>
          </cell>
          <cell r="N235">
            <v>0</v>
          </cell>
          <cell r="O235">
            <v>0</v>
          </cell>
          <cell r="P235">
            <v>0</v>
          </cell>
          <cell r="Q235">
            <v>4.5368347491771743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37.316792269042047</v>
          </cell>
          <cell r="G236">
            <v>37.316792269042047</v>
          </cell>
          <cell r="H236">
            <v>12.140288511263959</v>
          </cell>
          <cell r="I236">
            <v>12.140288511263961</v>
          </cell>
          <cell r="J236">
            <v>0</v>
          </cell>
          <cell r="K236">
            <v>0</v>
          </cell>
          <cell r="L236">
            <v>0</v>
          </cell>
          <cell r="M236">
            <v>0</v>
          </cell>
          <cell r="N236">
            <v>0</v>
          </cell>
          <cell r="O236">
            <v>0</v>
          </cell>
          <cell r="P236">
            <v>0</v>
          </cell>
          <cell r="Q236">
            <v>23.882747052186911</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8.5065651547072019</v>
          </cell>
          <cell r="G237">
            <v>8.5065651547072001</v>
          </cell>
          <cell r="H237">
            <v>2.7674445990279981</v>
          </cell>
          <cell r="I237">
            <v>2.7674445990279986</v>
          </cell>
          <cell r="J237">
            <v>0</v>
          </cell>
          <cell r="K237">
            <v>0</v>
          </cell>
          <cell r="L237">
            <v>0</v>
          </cell>
          <cell r="M237">
            <v>0</v>
          </cell>
          <cell r="N237">
            <v>0</v>
          </cell>
          <cell r="O237">
            <v>0</v>
          </cell>
          <cell r="P237">
            <v>0</v>
          </cell>
          <cell r="Q237">
            <v>5.4442016990126092</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6.5804797500568721</v>
          </cell>
          <cell r="G238">
            <v>6.5804797500568712</v>
          </cell>
          <cell r="H238">
            <v>2.1408303836044422</v>
          </cell>
          <cell r="I238">
            <v>2.1408303836044427</v>
          </cell>
          <cell r="J238">
            <v>0</v>
          </cell>
          <cell r="K238">
            <v>0</v>
          </cell>
          <cell r="L238">
            <v>0</v>
          </cell>
          <cell r="M238">
            <v>0</v>
          </cell>
          <cell r="N238">
            <v>0</v>
          </cell>
          <cell r="O238">
            <v>0</v>
          </cell>
          <cell r="P238">
            <v>0</v>
          </cell>
          <cell r="Q238">
            <v>4.2115070400363983</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5.0585707453325499</v>
          </cell>
          <cell r="G239">
            <v>5.0585707453325499</v>
          </cell>
          <cell r="H239">
            <v>1.6457070548886501</v>
          </cell>
          <cell r="I239">
            <v>1.6457070548886501</v>
          </cell>
          <cell r="J239">
            <v>0</v>
          </cell>
          <cell r="K239">
            <v>0</v>
          </cell>
          <cell r="L239">
            <v>0</v>
          </cell>
          <cell r="M239">
            <v>0</v>
          </cell>
          <cell r="N239">
            <v>0</v>
          </cell>
          <cell r="O239">
            <v>0</v>
          </cell>
          <cell r="P239">
            <v>0</v>
          </cell>
          <cell r="Q239">
            <v>3.2374852770128322</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3.470678583120538</v>
          </cell>
          <cell r="G240">
            <v>3.470678583120538</v>
          </cell>
          <cell r="H240">
            <v>1.1291173964034231</v>
          </cell>
          <cell r="I240">
            <v>1.1291173964034233</v>
          </cell>
          <cell r="J240">
            <v>0</v>
          </cell>
          <cell r="K240">
            <v>0</v>
          </cell>
          <cell r="L240">
            <v>0</v>
          </cell>
          <cell r="M240">
            <v>0</v>
          </cell>
          <cell r="N240">
            <v>0</v>
          </cell>
          <cell r="O240">
            <v>0</v>
          </cell>
          <cell r="P240">
            <v>0</v>
          </cell>
          <cell r="Q240">
            <v>2.2212342931971447</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13.700498035824891</v>
          </cell>
          <cell r="G241">
            <v>13.700498035824891</v>
          </cell>
          <cell r="H241">
            <v>4.4571890773394482</v>
          </cell>
          <cell r="I241">
            <v>4.4571890773394491</v>
          </cell>
          <cell r="J241">
            <v>0</v>
          </cell>
          <cell r="K241">
            <v>0</v>
          </cell>
          <cell r="L241">
            <v>0</v>
          </cell>
          <cell r="M241">
            <v>0</v>
          </cell>
          <cell r="N241">
            <v>0</v>
          </cell>
          <cell r="O241">
            <v>0</v>
          </cell>
          <cell r="P241">
            <v>0</v>
          </cell>
          <cell r="Q241">
            <v>8.7683187429279297</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361.13655624086977</v>
          </cell>
          <cell r="G243">
            <v>361.13655624086977</v>
          </cell>
          <cell r="H243">
            <v>361.13655624086971</v>
          </cell>
          <cell r="I243">
            <v>361.13655624086982</v>
          </cell>
          <cell r="J243">
            <v>0</v>
          </cell>
          <cell r="K243">
            <v>0</v>
          </cell>
          <cell r="L243">
            <v>0</v>
          </cell>
          <cell r="M243">
            <v>0</v>
          </cell>
          <cell r="N243">
            <v>0</v>
          </cell>
          <cell r="O243">
            <v>0</v>
          </cell>
          <cell r="P243">
            <v>0</v>
          </cell>
          <cell r="Q243">
            <v>361.13655624086977</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78.639016485245293</v>
          </cell>
          <cell r="G244">
            <v>78.639016485245278</v>
          </cell>
          <cell r="H244">
            <v>78.639016485245293</v>
          </cell>
          <cell r="I244">
            <v>78.639016485245293</v>
          </cell>
          <cell r="J244">
            <v>0</v>
          </cell>
          <cell r="K244">
            <v>0</v>
          </cell>
          <cell r="L244">
            <v>0</v>
          </cell>
          <cell r="M244">
            <v>0</v>
          </cell>
          <cell r="N244">
            <v>0</v>
          </cell>
          <cell r="O244">
            <v>0</v>
          </cell>
          <cell r="P244">
            <v>0</v>
          </cell>
          <cell r="Q244">
            <v>78.639016485245293</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71.233411145063073</v>
          </cell>
          <cell r="G245">
            <v>71.233411145063073</v>
          </cell>
          <cell r="H245">
            <v>71.233411145063073</v>
          </cell>
          <cell r="I245">
            <v>71.233411145063073</v>
          </cell>
          <cell r="J245">
            <v>0</v>
          </cell>
          <cell r="K245">
            <v>0</v>
          </cell>
          <cell r="L245">
            <v>0</v>
          </cell>
          <cell r="M245">
            <v>0</v>
          </cell>
          <cell r="N245">
            <v>0</v>
          </cell>
          <cell r="O245">
            <v>0</v>
          </cell>
          <cell r="P245">
            <v>0</v>
          </cell>
          <cell r="Q245">
            <v>71.233411145063073</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7.4056053401822126</v>
          </cell>
          <cell r="G246">
            <v>7.4056053401822126</v>
          </cell>
          <cell r="H246">
            <v>7.4056053401822126</v>
          </cell>
          <cell r="I246">
            <v>7.4056053401822126</v>
          </cell>
          <cell r="J246">
            <v>0</v>
          </cell>
          <cell r="K246">
            <v>0</v>
          </cell>
          <cell r="L246">
            <v>0</v>
          </cell>
          <cell r="M246">
            <v>0</v>
          </cell>
          <cell r="N246">
            <v>0</v>
          </cell>
          <cell r="O246">
            <v>0</v>
          </cell>
          <cell r="P246">
            <v>0</v>
          </cell>
          <cell r="Q246">
            <v>7.4056053401822126</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235.65274765617366</v>
          </cell>
          <cell r="G247">
            <v>235.65274765617369</v>
          </cell>
          <cell r="H247">
            <v>235.65274765617366</v>
          </cell>
          <cell r="I247">
            <v>235.65274765617372</v>
          </cell>
          <cell r="J247">
            <v>0</v>
          </cell>
          <cell r="K247">
            <v>0</v>
          </cell>
          <cell r="L247">
            <v>0</v>
          </cell>
          <cell r="M247">
            <v>0</v>
          </cell>
          <cell r="N247">
            <v>0</v>
          </cell>
          <cell r="O247">
            <v>0</v>
          </cell>
          <cell r="P247">
            <v>0</v>
          </cell>
          <cell r="Q247">
            <v>235.65274765617374</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54.652257449359254</v>
          </cell>
          <cell r="G248">
            <v>54.65225744935924</v>
          </cell>
          <cell r="H248">
            <v>54.65225744935924</v>
          </cell>
          <cell r="I248">
            <v>54.65225744935924</v>
          </cell>
          <cell r="J248">
            <v>0</v>
          </cell>
          <cell r="K248">
            <v>0</v>
          </cell>
          <cell r="L248">
            <v>0</v>
          </cell>
          <cell r="M248">
            <v>0</v>
          </cell>
          <cell r="N248">
            <v>0</v>
          </cell>
          <cell r="O248">
            <v>0</v>
          </cell>
          <cell r="P248">
            <v>0</v>
          </cell>
          <cell r="Q248">
            <v>54.652257449359254</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129.90898873171818</v>
          </cell>
          <cell r="G249">
            <v>129.90898873171818</v>
          </cell>
          <cell r="H249">
            <v>129.90898873171815</v>
          </cell>
          <cell r="I249">
            <v>129.90898873171818</v>
          </cell>
          <cell r="J249">
            <v>0</v>
          </cell>
          <cell r="K249">
            <v>0</v>
          </cell>
          <cell r="L249">
            <v>0</v>
          </cell>
          <cell r="M249">
            <v>0</v>
          </cell>
          <cell r="N249">
            <v>0</v>
          </cell>
          <cell r="O249">
            <v>0</v>
          </cell>
          <cell r="P249">
            <v>0</v>
          </cell>
          <cell r="Q249">
            <v>129.90898873171818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44.598039806271281</v>
          </cell>
          <cell r="G251">
            <v>44.598039806271288</v>
          </cell>
          <cell r="H251">
            <v>44.598039806271288</v>
          </cell>
          <cell r="I251">
            <v>44.598039806271288</v>
          </cell>
          <cell r="J251">
            <v>0</v>
          </cell>
          <cell r="K251">
            <v>0</v>
          </cell>
          <cell r="L251">
            <v>0</v>
          </cell>
          <cell r="M251">
            <v>0</v>
          </cell>
          <cell r="N251">
            <v>0</v>
          </cell>
          <cell r="O251">
            <v>0</v>
          </cell>
          <cell r="P251">
            <v>0</v>
          </cell>
          <cell r="Q251">
            <v>44.598039806271288</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4.3260098612083144</v>
          </cell>
          <cell r="G252">
            <v>4.3260098612083144</v>
          </cell>
          <cell r="H252">
            <v>4.3260098612083144</v>
          </cell>
          <cell r="I252">
            <v>4.3260098612083144</v>
          </cell>
          <cell r="J252">
            <v>0</v>
          </cell>
          <cell r="K252">
            <v>0</v>
          </cell>
          <cell r="L252">
            <v>0</v>
          </cell>
          <cell r="M252">
            <v>0</v>
          </cell>
          <cell r="N252">
            <v>0</v>
          </cell>
          <cell r="O252">
            <v>0</v>
          </cell>
          <cell r="P252">
            <v>0</v>
          </cell>
          <cell r="Q252">
            <v>4.3260098612083144</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3.1218627864389896</v>
          </cell>
          <cell r="G254">
            <v>3.1218627864389896</v>
          </cell>
          <cell r="H254">
            <v>3.1218627864389896</v>
          </cell>
          <cell r="I254">
            <v>3.1218627864389896</v>
          </cell>
          <cell r="J254">
            <v>0</v>
          </cell>
          <cell r="K254">
            <v>0</v>
          </cell>
          <cell r="L254">
            <v>0</v>
          </cell>
          <cell r="M254">
            <v>0</v>
          </cell>
          <cell r="N254">
            <v>0</v>
          </cell>
          <cell r="O254">
            <v>0</v>
          </cell>
          <cell r="P254">
            <v>0</v>
          </cell>
          <cell r="Q254">
            <v>3.1218627864389896</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31.229861399633858</v>
          </cell>
          <cell r="G255">
            <v>31.229861399633862</v>
          </cell>
          <cell r="H255">
            <v>31.229861399633858</v>
          </cell>
          <cell r="I255">
            <v>31.229861399633858</v>
          </cell>
          <cell r="J255">
            <v>0</v>
          </cell>
          <cell r="K255">
            <v>0</v>
          </cell>
          <cell r="L255">
            <v>0</v>
          </cell>
          <cell r="M255">
            <v>0</v>
          </cell>
          <cell r="N255">
            <v>0</v>
          </cell>
          <cell r="O255">
            <v>0</v>
          </cell>
          <cell r="P255">
            <v>0</v>
          </cell>
          <cell r="Q255">
            <v>31.229861399633858</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46.844792099450792</v>
          </cell>
          <cell r="G256">
            <v>46.844792099450792</v>
          </cell>
          <cell r="H256">
            <v>46.844792099450792</v>
          </cell>
          <cell r="I256">
            <v>46.844792099450792</v>
          </cell>
          <cell r="J256">
            <v>0</v>
          </cell>
          <cell r="K256">
            <v>0</v>
          </cell>
          <cell r="L256">
            <v>0</v>
          </cell>
          <cell r="M256">
            <v>0</v>
          </cell>
          <cell r="N256">
            <v>0</v>
          </cell>
          <cell r="O256">
            <v>0</v>
          </cell>
          <cell r="P256">
            <v>0</v>
          </cell>
          <cell r="Q256">
            <v>46.844792099450792</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897.01822503604342</v>
          </cell>
          <cell r="G257">
            <v>1105.8210917435731</v>
          </cell>
          <cell r="H257">
            <v>885.45850313025221</v>
          </cell>
          <cell r="I257">
            <v>892.66671567996571</v>
          </cell>
          <cell r="J257">
            <v>0</v>
          </cell>
          <cell r="K257">
            <v>0</v>
          </cell>
          <cell r="L257">
            <v>0</v>
          </cell>
          <cell r="M257">
            <v>0</v>
          </cell>
          <cell r="N257">
            <v>0</v>
          </cell>
          <cell r="O257">
            <v>0</v>
          </cell>
          <cell r="P257">
            <v>0</v>
          </cell>
          <cell r="Q257">
            <v>881.27019353998037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34.553785623815401</v>
          </cell>
          <cell r="G269">
            <v>34.553785623815401</v>
          </cell>
          <cell r="H269">
            <v>34.553785623815401</v>
          </cell>
          <cell r="I269">
            <v>34.553785623815401</v>
          </cell>
          <cell r="J269">
            <v>0</v>
          </cell>
          <cell r="K269">
            <v>0</v>
          </cell>
          <cell r="L269">
            <v>0</v>
          </cell>
          <cell r="M269">
            <v>0</v>
          </cell>
          <cell r="N269">
            <v>0</v>
          </cell>
          <cell r="O269">
            <v>0</v>
          </cell>
          <cell r="P269">
            <v>0</v>
          </cell>
          <cell r="Q269">
            <v>34.553785623815401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34.553785623815401</v>
          </cell>
          <cell r="G273">
            <v>34.553785623815401</v>
          </cell>
          <cell r="H273">
            <v>34.553785623815401</v>
          </cell>
          <cell r="I273">
            <v>34.553785623815401</v>
          </cell>
          <cell r="J273">
            <v>0</v>
          </cell>
          <cell r="K273">
            <v>0</v>
          </cell>
          <cell r="L273">
            <v>0</v>
          </cell>
          <cell r="M273">
            <v>0</v>
          </cell>
          <cell r="N273">
            <v>0</v>
          </cell>
          <cell r="O273">
            <v>0</v>
          </cell>
          <cell r="P273">
            <v>0</v>
          </cell>
          <cell r="Q273">
            <v>34.553785623815401</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862.46443941222799</v>
          </cell>
          <cell r="G274">
            <v>1071.2673061197577</v>
          </cell>
          <cell r="H274">
            <v>850.90471750643667</v>
          </cell>
          <cell r="I274">
            <v>858.11293005615028</v>
          </cell>
          <cell r="J274">
            <v>0</v>
          </cell>
          <cell r="K274">
            <v>0</v>
          </cell>
          <cell r="L274">
            <v>0</v>
          </cell>
          <cell r="M274">
            <v>0</v>
          </cell>
          <cell r="N274">
            <v>0</v>
          </cell>
          <cell r="O274">
            <v>0</v>
          </cell>
          <cell r="P274">
            <v>0</v>
          </cell>
          <cell r="Q274">
            <v>846.71640791616505</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819.18409766255786</v>
          </cell>
          <cell r="G275">
            <v>968.32900245365045</v>
          </cell>
          <cell r="H275">
            <v>810.72771013031297</v>
          </cell>
          <cell r="I275">
            <v>815.53318516345541</v>
          </cell>
          <cell r="J275">
            <v>0</v>
          </cell>
          <cell r="K275">
            <v>0</v>
          </cell>
          <cell r="L275">
            <v>0</v>
          </cell>
          <cell r="M275">
            <v>0</v>
          </cell>
          <cell r="N275">
            <v>0</v>
          </cell>
          <cell r="O275">
            <v>0</v>
          </cell>
          <cell r="P275">
            <v>0</v>
          </cell>
          <cell r="Q275">
            <v>807.93550373679852</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43.28034174967005</v>
          </cell>
          <cell r="G276">
            <v>102.93830366610713</v>
          </cell>
          <cell r="H276">
            <v>40.177007376123548</v>
          </cell>
          <cell r="I276">
            <v>42.579744892694713</v>
          </cell>
          <cell r="J276">
            <v>0</v>
          </cell>
          <cell r="K276">
            <v>0</v>
          </cell>
          <cell r="L276">
            <v>0</v>
          </cell>
          <cell r="M276">
            <v>0</v>
          </cell>
          <cell r="N276">
            <v>0</v>
          </cell>
          <cell r="O276">
            <v>0</v>
          </cell>
          <cell r="P276">
            <v>0</v>
          </cell>
          <cell r="Q276">
            <v>38.780904179366331</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97.659999999999982</v>
          </cell>
          <cell r="G278">
            <v>97.659999999999982</v>
          </cell>
          <cell r="H278">
            <v>97.659999999999968</v>
          </cell>
          <cell r="I278">
            <v>97.659999999999982</v>
          </cell>
          <cell r="J278">
            <v>0</v>
          </cell>
          <cell r="K278">
            <v>0</v>
          </cell>
          <cell r="L278">
            <v>0</v>
          </cell>
          <cell r="M278">
            <v>0</v>
          </cell>
          <cell r="N278">
            <v>0</v>
          </cell>
          <cell r="O278">
            <v>0</v>
          </cell>
          <cell r="P278">
            <v>0</v>
          </cell>
          <cell r="Q278">
            <v>97.659999999999954</v>
          </cell>
          <cell r="R278">
            <v>0</v>
          </cell>
          <cell r="S278">
            <v>0</v>
          </cell>
          <cell r="T278">
            <v>0</v>
          </cell>
          <cell r="U278">
            <v>0</v>
          </cell>
          <cell r="V278">
            <v>97.659999999999982</v>
          </cell>
          <cell r="W278">
            <v>97.659999999999982</v>
          </cell>
          <cell r="X278">
            <v>0</v>
          </cell>
          <cell r="Y278">
            <v>0</v>
          </cell>
          <cell r="Z278">
            <v>0</v>
          </cell>
          <cell r="AA278">
            <v>0</v>
          </cell>
          <cell r="AB278">
            <v>0</v>
          </cell>
          <cell r="AC278">
            <v>0</v>
          </cell>
          <cell r="AD278">
            <v>0</v>
          </cell>
          <cell r="AE278">
            <v>0</v>
          </cell>
          <cell r="AF278">
            <v>0</v>
          </cell>
        </row>
        <row r="279">
          <cell r="E279">
            <v>0</v>
          </cell>
          <cell r="F279">
            <v>25.000000000000007</v>
          </cell>
          <cell r="G279">
            <v>25.000000000000007</v>
          </cell>
          <cell r="H279">
            <v>25.000000000000004</v>
          </cell>
          <cell r="I279">
            <v>25.000000000000004</v>
          </cell>
          <cell r="J279">
            <v>0</v>
          </cell>
          <cell r="K279">
            <v>0</v>
          </cell>
          <cell r="L279">
            <v>0</v>
          </cell>
          <cell r="M279">
            <v>0</v>
          </cell>
          <cell r="N279">
            <v>0</v>
          </cell>
          <cell r="O279">
            <v>0</v>
          </cell>
          <cell r="P279">
            <v>0</v>
          </cell>
          <cell r="Q279">
            <v>24.999999999999996</v>
          </cell>
          <cell r="R279">
            <v>0</v>
          </cell>
          <cell r="S279">
            <v>0</v>
          </cell>
          <cell r="T279">
            <v>0</v>
          </cell>
          <cell r="U279">
            <v>0</v>
          </cell>
          <cell r="V279">
            <v>25.000000000000004</v>
          </cell>
          <cell r="W279">
            <v>25.000000000000004</v>
          </cell>
          <cell r="X279">
            <v>0</v>
          </cell>
          <cell r="Y279">
            <v>0</v>
          </cell>
          <cell r="Z279">
            <v>0</v>
          </cell>
          <cell r="AA279">
            <v>0</v>
          </cell>
          <cell r="AB279">
            <v>0</v>
          </cell>
          <cell r="AC279">
            <v>0</v>
          </cell>
          <cell r="AD279">
            <v>0</v>
          </cell>
          <cell r="AE279">
            <v>0</v>
          </cell>
          <cell r="AF279">
            <v>0</v>
          </cell>
        </row>
        <row r="280">
          <cell r="E280">
            <v>0</v>
          </cell>
          <cell r="F280">
            <v>5.0000000000000009</v>
          </cell>
          <cell r="G280">
            <v>5.0000000000000009</v>
          </cell>
          <cell r="H280">
            <v>5</v>
          </cell>
          <cell r="I280">
            <v>5</v>
          </cell>
          <cell r="J280">
            <v>0</v>
          </cell>
          <cell r="K280">
            <v>0</v>
          </cell>
          <cell r="L280">
            <v>0</v>
          </cell>
          <cell r="M280">
            <v>0</v>
          </cell>
          <cell r="N280">
            <v>0</v>
          </cell>
          <cell r="O280">
            <v>0</v>
          </cell>
          <cell r="P280">
            <v>0</v>
          </cell>
          <cell r="Q280">
            <v>5.0000000000000009</v>
          </cell>
          <cell r="R280">
            <v>0</v>
          </cell>
          <cell r="S280">
            <v>0</v>
          </cell>
          <cell r="T280">
            <v>0</v>
          </cell>
          <cell r="U280">
            <v>0</v>
          </cell>
          <cell r="V280">
            <v>5</v>
          </cell>
          <cell r="W280">
            <v>5</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5.0000000000000009</v>
          </cell>
          <cell r="G283">
            <v>5.0000000000000009</v>
          </cell>
          <cell r="H283">
            <v>5</v>
          </cell>
          <cell r="I283">
            <v>5</v>
          </cell>
          <cell r="J283">
            <v>0</v>
          </cell>
          <cell r="K283">
            <v>0</v>
          </cell>
          <cell r="L283">
            <v>0</v>
          </cell>
          <cell r="M283">
            <v>0</v>
          </cell>
          <cell r="N283">
            <v>0</v>
          </cell>
          <cell r="O283">
            <v>0</v>
          </cell>
          <cell r="P283">
            <v>0</v>
          </cell>
          <cell r="Q283">
            <v>5</v>
          </cell>
          <cell r="R283">
            <v>0</v>
          </cell>
          <cell r="S283">
            <v>0</v>
          </cell>
          <cell r="T283">
            <v>0</v>
          </cell>
          <cell r="U283">
            <v>0</v>
          </cell>
          <cell r="V283">
            <v>5</v>
          </cell>
          <cell r="W283">
            <v>5</v>
          </cell>
          <cell r="X283">
            <v>0</v>
          </cell>
          <cell r="Y283">
            <v>0</v>
          </cell>
          <cell r="Z283">
            <v>0</v>
          </cell>
          <cell r="AA283">
            <v>0</v>
          </cell>
          <cell r="AB283">
            <v>0</v>
          </cell>
          <cell r="AC283">
            <v>0</v>
          </cell>
          <cell r="AD283">
            <v>0</v>
          </cell>
          <cell r="AE283">
            <v>0</v>
          </cell>
          <cell r="AF283">
            <v>0</v>
          </cell>
        </row>
        <row r="284">
          <cell r="E284">
            <v>0</v>
          </cell>
          <cell r="F284">
            <v>45.000000000000014</v>
          </cell>
          <cell r="G284">
            <v>45.000000000000007</v>
          </cell>
          <cell r="H284">
            <v>45.000000000000007</v>
          </cell>
          <cell r="I284">
            <v>45.000000000000007</v>
          </cell>
          <cell r="J284">
            <v>0</v>
          </cell>
          <cell r="K284">
            <v>0</v>
          </cell>
          <cell r="L284">
            <v>0</v>
          </cell>
          <cell r="M284">
            <v>0</v>
          </cell>
          <cell r="N284">
            <v>0</v>
          </cell>
          <cell r="O284">
            <v>0</v>
          </cell>
          <cell r="P284">
            <v>0</v>
          </cell>
          <cell r="Q284">
            <v>45.000000000000007</v>
          </cell>
          <cell r="R284">
            <v>0</v>
          </cell>
          <cell r="S284">
            <v>0</v>
          </cell>
          <cell r="T284">
            <v>0</v>
          </cell>
          <cell r="U284">
            <v>0</v>
          </cell>
          <cell r="V284">
            <v>45.000000000000007</v>
          </cell>
          <cell r="W284">
            <v>45.000000000000007</v>
          </cell>
          <cell r="X284">
            <v>0</v>
          </cell>
          <cell r="Y284">
            <v>0</v>
          </cell>
          <cell r="Z284">
            <v>0</v>
          </cell>
          <cell r="AA284">
            <v>0</v>
          </cell>
          <cell r="AB284">
            <v>0</v>
          </cell>
          <cell r="AC284">
            <v>0</v>
          </cell>
          <cell r="AD284">
            <v>0</v>
          </cell>
          <cell r="AE284">
            <v>0</v>
          </cell>
          <cell r="AF284">
            <v>0</v>
          </cell>
        </row>
        <row r="285">
          <cell r="E285">
            <v>0</v>
          </cell>
          <cell r="F285">
            <v>5.0000000000000009</v>
          </cell>
          <cell r="G285">
            <v>5.0000000000000009</v>
          </cell>
          <cell r="H285">
            <v>5</v>
          </cell>
          <cell r="I285">
            <v>5</v>
          </cell>
          <cell r="J285">
            <v>0</v>
          </cell>
          <cell r="K285">
            <v>0</v>
          </cell>
          <cell r="L285">
            <v>0</v>
          </cell>
          <cell r="M285">
            <v>0</v>
          </cell>
          <cell r="N285">
            <v>0</v>
          </cell>
          <cell r="O285">
            <v>0</v>
          </cell>
          <cell r="P285">
            <v>0</v>
          </cell>
          <cell r="Q285">
            <v>5.0000000000000009</v>
          </cell>
          <cell r="R285">
            <v>0</v>
          </cell>
          <cell r="S285">
            <v>0</v>
          </cell>
          <cell r="T285">
            <v>0</v>
          </cell>
          <cell r="U285">
            <v>0</v>
          </cell>
          <cell r="V285">
            <v>5</v>
          </cell>
          <cell r="W285">
            <v>5</v>
          </cell>
          <cell r="X285">
            <v>0</v>
          </cell>
          <cell r="Y285">
            <v>0</v>
          </cell>
          <cell r="Z285">
            <v>0</v>
          </cell>
          <cell r="AA285">
            <v>0</v>
          </cell>
          <cell r="AB285">
            <v>0</v>
          </cell>
          <cell r="AC285">
            <v>0</v>
          </cell>
          <cell r="AD285">
            <v>0</v>
          </cell>
          <cell r="AE285">
            <v>0</v>
          </cell>
          <cell r="AF285">
            <v>0</v>
          </cell>
        </row>
        <row r="286">
          <cell r="E286">
            <v>0</v>
          </cell>
          <cell r="F286">
            <v>12.659999999999998</v>
          </cell>
          <cell r="G286">
            <v>12.66</v>
          </cell>
          <cell r="H286">
            <v>12.659999999999997</v>
          </cell>
          <cell r="I286">
            <v>12.659999999999998</v>
          </cell>
          <cell r="J286">
            <v>0</v>
          </cell>
          <cell r="K286">
            <v>0</v>
          </cell>
          <cell r="L286">
            <v>0</v>
          </cell>
          <cell r="M286">
            <v>0</v>
          </cell>
          <cell r="N286">
            <v>0</v>
          </cell>
          <cell r="O286">
            <v>0</v>
          </cell>
          <cell r="P286">
            <v>0</v>
          </cell>
          <cell r="Q286">
            <v>12.659999999999998</v>
          </cell>
          <cell r="R286">
            <v>0</v>
          </cell>
          <cell r="S286">
            <v>0</v>
          </cell>
          <cell r="T286">
            <v>0</v>
          </cell>
          <cell r="U286">
            <v>0</v>
          </cell>
          <cell r="V286">
            <v>12.66</v>
          </cell>
          <cell r="W286">
            <v>12.66</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8506.1978314042281</v>
          </cell>
          <cell r="G296">
            <v>8506.1978314042281</v>
          </cell>
          <cell r="H296">
            <v>4919.9259358922418</v>
          </cell>
          <cell r="I296">
            <v>4919.9259358922418</v>
          </cell>
          <cell r="J296">
            <v>0</v>
          </cell>
          <cell r="K296">
            <v>0</v>
          </cell>
          <cell r="L296">
            <v>0</v>
          </cell>
          <cell r="M296">
            <v>0</v>
          </cell>
          <cell r="N296">
            <v>0</v>
          </cell>
          <cell r="O296">
            <v>0</v>
          </cell>
          <cell r="P296">
            <v>0</v>
          </cell>
          <cell r="Q296">
            <v>9402.7658052822244</v>
          </cell>
          <cell r="R296">
            <v>0</v>
          </cell>
          <cell r="S296">
            <v>0</v>
          </cell>
          <cell r="T296">
            <v>0</v>
          </cell>
          <cell r="U296">
            <v>0</v>
          </cell>
          <cell r="V296">
            <v>1333.6540403802549</v>
          </cell>
          <cell r="W296">
            <v>0</v>
          </cell>
          <cell r="X296">
            <v>0</v>
          </cell>
          <cell r="Y296">
            <v>0</v>
          </cell>
          <cell r="Z296">
            <v>0</v>
          </cell>
          <cell r="AA296">
            <v>0</v>
          </cell>
          <cell r="AB296">
            <v>0</v>
          </cell>
          <cell r="AC296">
            <v>0</v>
          </cell>
          <cell r="AD296">
            <v>0</v>
          </cell>
          <cell r="AE296">
            <v>0</v>
          </cell>
          <cell r="AF296">
            <v>0</v>
          </cell>
        </row>
        <row r="297">
          <cell r="E297">
            <v>0</v>
          </cell>
          <cell r="F297">
            <v>1333.6540403802546</v>
          </cell>
          <cell r="G297">
            <v>1333.6540403802549</v>
          </cell>
          <cell r="H297">
            <v>1333.6540403802549</v>
          </cell>
          <cell r="I297">
            <v>1333.6540403802549</v>
          </cell>
          <cell r="J297">
            <v>0</v>
          </cell>
          <cell r="K297">
            <v>0</v>
          </cell>
          <cell r="L297">
            <v>0</v>
          </cell>
          <cell r="M297">
            <v>0</v>
          </cell>
          <cell r="N297">
            <v>0</v>
          </cell>
          <cell r="O297">
            <v>0</v>
          </cell>
          <cell r="P297">
            <v>0</v>
          </cell>
          <cell r="Q297">
            <v>1333.6540403802546</v>
          </cell>
          <cell r="R297">
            <v>0</v>
          </cell>
          <cell r="S297">
            <v>0</v>
          </cell>
          <cell r="T297">
            <v>0</v>
          </cell>
          <cell r="U297">
            <v>0</v>
          </cell>
          <cell r="V297">
            <v>1333.6540403802549</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300">
          <cell r="E300">
            <v>0</v>
          </cell>
          <cell r="F300">
            <v>4507.9762594106569</v>
          </cell>
          <cell r="G300">
            <v>4575.362533044492</v>
          </cell>
          <cell r="H300">
            <v>1586.2504084433033</v>
          </cell>
          <cell r="I300">
            <v>1514.8216611357982</v>
          </cell>
          <cell r="J300">
            <v>0</v>
          </cell>
          <cell r="K300">
            <v>0</v>
          </cell>
          <cell r="L300">
            <v>0</v>
          </cell>
          <cell r="M300">
            <v>0</v>
          </cell>
          <cell r="N300">
            <v>0</v>
          </cell>
          <cell r="O300">
            <v>0</v>
          </cell>
          <cell r="P300">
            <v>0</v>
          </cell>
          <cell r="Q300">
            <v>6305.0019286123752</v>
          </cell>
          <cell r="R300">
            <v>0</v>
          </cell>
          <cell r="S300">
            <v>0</v>
          </cell>
          <cell r="T300">
            <v>0</v>
          </cell>
          <cell r="U300">
            <v>0</v>
          </cell>
          <cell r="V300">
            <v>-333.41351009506371</v>
          </cell>
          <cell r="W300">
            <v>0</v>
          </cell>
          <cell r="X300">
            <v>0</v>
          </cell>
          <cell r="Y300">
            <v>0</v>
          </cell>
          <cell r="Z300">
            <v>0</v>
          </cell>
          <cell r="AA300">
            <v>0</v>
          </cell>
          <cell r="AB300">
            <v>0</v>
          </cell>
          <cell r="AC300">
            <v>0</v>
          </cell>
          <cell r="AD300">
            <v>0</v>
          </cell>
          <cell r="AE300">
            <v>0</v>
          </cell>
          <cell r="AF300">
            <v>0</v>
          </cell>
        </row>
        <row r="301">
          <cell r="E301">
            <v>0</v>
          </cell>
          <cell r="F301">
            <v>33892.177753389406</v>
          </cell>
          <cell r="G301">
            <v>33690.018932487903</v>
          </cell>
          <cell r="H301">
            <v>16451.324125117029</v>
          </cell>
          <cell r="I301">
            <v>16665.61036703955</v>
          </cell>
          <cell r="J301">
            <v>0</v>
          </cell>
          <cell r="K301">
            <v>0</v>
          </cell>
          <cell r="L301">
            <v>0</v>
          </cell>
          <cell r="M301">
            <v>0</v>
          </cell>
          <cell r="N301">
            <v>0</v>
          </cell>
          <cell r="O301">
            <v>0</v>
          </cell>
          <cell r="P301">
            <v>0</v>
          </cell>
          <cell r="Q301">
            <v>30189.596324549711</v>
          </cell>
          <cell r="R301">
            <v>0</v>
          </cell>
          <cell r="S301">
            <v>0</v>
          </cell>
          <cell r="T301">
            <v>0</v>
          </cell>
          <cell r="U301">
            <v>0</v>
          </cell>
          <cell r="V301">
            <v>4226.0950603607071</v>
          </cell>
          <cell r="W301">
            <v>4056.9467978439225</v>
          </cell>
          <cell r="X301">
            <v>0</v>
          </cell>
          <cell r="Y301">
            <v>0</v>
          </cell>
          <cell r="Z301">
            <v>0</v>
          </cell>
          <cell r="AA301">
            <v>0</v>
          </cell>
          <cell r="AB301">
            <v>0</v>
          </cell>
          <cell r="AC301">
            <v>0</v>
          </cell>
          <cell r="AD301">
            <v>0</v>
          </cell>
          <cell r="AE301">
            <v>0</v>
          </cell>
          <cell r="AF301">
            <v>0</v>
          </cell>
        </row>
        <row r="302">
          <cell r="E302">
            <v>0</v>
          </cell>
          <cell r="F302">
            <v>20878.003662574523</v>
          </cell>
          <cell r="G302">
            <v>20608.458568039179</v>
          </cell>
          <cell r="H302">
            <v>9945.1477807814845</v>
          </cell>
          <cell r="I302">
            <v>10230.86277001151</v>
          </cell>
          <cell r="J302">
            <v>0</v>
          </cell>
          <cell r="K302">
            <v>0</v>
          </cell>
          <cell r="L302">
            <v>0</v>
          </cell>
          <cell r="M302">
            <v>0</v>
          </cell>
          <cell r="N302">
            <v>0</v>
          </cell>
          <cell r="O302">
            <v>0</v>
          </cell>
          <cell r="P302">
            <v>0</v>
          </cell>
          <cell r="Q302">
            <v>14481.828590655112</v>
          </cell>
          <cell r="R302">
            <v>0</v>
          </cell>
          <cell r="S302">
            <v>0</v>
          </cell>
          <cell r="T302">
            <v>0</v>
          </cell>
          <cell r="U302">
            <v>0</v>
          </cell>
          <cell r="V302">
            <v>3225.8545300755154</v>
          </cell>
          <cell r="W302">
            <v>4056.9467978439225</v>
          </cell>
          <cell r="X302">
            <v>0</v>
          </cell>
          <cell r="Y302">
            <v>0</v>
          </cell>
          <cell r="Z302">
            <v>0</v>
          </cell>
          <cell r="AA302">
            <v>0</v>
          </cell>
          <cell r="AB302">
            <v>0</v>
          </cell>
          <cell r="AC302">
            <v>0</v>
          </cell>
          <cell r="AD302">
            <v>0</v>
          </cell>
          <cell r="AE302">
            <v>0</v>
          </cell>
          <cell r="AF30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20171030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v>102900</v>
          </cell>
          <cell r="E3">
            <v>133770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M5" zoomScale="125" zoomScaleNormal="80" workbookViewId="0">
      <selection activeCell="B16" sqref="B16"/>
    </sheetView>
  </sheetViews>
  <sheetFormatPr defaultColWidth="9" defaultRowHeight="14.25"/>
  <cols>
    <col min="1" max="1" width="36.5" style="2801" customWidth="1"/>
    <col min="2" max="2" width="78.25" style="2802" customWidth="1"/>
    <col min="3" max="18" width="9" style="2796"/>
    <col min="19" max="19" width="17.875" style="2796" customWidth="1"/>
    <col min="20" max="51" width="9" style="2796"/>
    <col min="52" max="52" width="13.25" style="2796" customWidth="1"/>
    <col min="53" max="53" width="13.5" style="2796" bestFit="1" customWidth="1"/>
    <col min="54" max="54" width="11.625" style="2796" bestFit="1" customWidth="1"/>
    <col min="55" max="55" width="13.5" style="2796" bestFit="1" customWidth="1"/>
    <col min="56" max="16384" width="9" style="2796"/>
  </cols>
  <sheetData>
    <row r="1" spans="1:55" s="2807" customFormat="1" ht="16.5" thickBot="1">
      <c r="A1" s="2805" t="s">
        <v>2655</v>
      </c>
      <c r="B1" s="2806" t="s">
        <v>2752</v>
      </c>
    </row>
    <row r="2" spans="1:55" s="2810" customFormat="1" ht="15" thickTop="1">
      <c r="A2" s="2808" t="s">
        <v>2659</v>
      </c>
      <c r="B2" s="2809" t="str">
        <f>'预评函-封皮'!B37</f>
        <v>惠州市广东省惠州市大亚湾经济技术开发区霞涌镇乌山头地段出让国有建设用地使用权抵押价格预评估</v>
      </c>
      <c r="AX2" s="2811"/>
      <c r="AZ2" s="2811"/>
      <c r="BA2" s="2812"/>
      <c r="BC2" s="2812"/>
    </row>
    <row r="3" spans="1:55" s="2813" customFormat="1">
      <c r="A3" s="2792" t="s">
        <v>2660</v>
      </c>
      <c r="B3" s="2795" t="str">
        <f>'预评函-封皮'!B40</f>
        <v>待定</v>
      </c>
    </row>
    <row r="4" spans="1:55" s="2794" customFormat="1">
      <c r="A4" s="2792" t="s">
        <v>2661</v>
      </c>
      <c r="B4" s="2793" t="str">
        <f>'预评函-封皮'!B46</f>
        <v>梁津、王鹏</v>
      </c>
      <c r="N4" s="2794" t="str">
        <f>'预评函-1'!A28</f>
        <v>本次估价的“抵押净值”是指估价对象“抵押价格”减去估价对象在估价期日以“土地销售收入”为基数计算的预计抵押权实现进行处置时需缴纳的各项费用、税金等相关费用后的价格。</v>
      </c>
    </row>
    <row r="5" spans="1:55" s="2807" customFormat="1" ht="15" thickBot="1">
      <c r="A5" s="2814" t="s">
        <v>2662</v>
      </c>
      <c r="B5" s="2815" t="str">
        <f>'预评函-封皮'!B49</f>
        <v>康正预评字号</v>
      </c>
    </row>
    <row r="6" spans="1:55" s="2816" customFormat="1" ht="15" thickTop="1">
      <c r="A6" s="2808" t="s">
        <v>2704</v>
      </c>
      <c r="B6" s="2809" t="str">
        <f>'预评函-1'!A4</f>
        <v>受贵公司委托，我公司对惠州市广东省惠州市大亚湾经济技术开发区霞涌镇乌山头地段出让国有建设用地使用权抵押价格进行了预评估。</v>
      </c>
      <c r="AM6" s="2817"/>
    </row>
    <row r="7" spans="1:55" s="2791" customFormat="1">
      <c r="A7" s="2792" t="s">
        <v>2656</v>
      </c>
      <c r="B7" s="2793" t="str">
        <f>'预评函-1'!A6</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8" spans="1:55" s="2791" customFormat="1">
      <c r="A8" s="2792" t="s">
        <v>2657</v>
      </c>
      <c r="B8" s="2793" t="str">
        <f>'预评函-1'!A7</f>
        <v xml:space="preserve">简述项目推广名，项目类型（用途），估价对象分布，各用途面积明细情况：XX用途建筑面积XX平方米，XX用途建筑面积XX平方米，……。复杂面积清单需设‘附表’列示：抵押物清单详见附表。        </v>
      </c>
    </row>
    <row r="9" spans="1:55" s="2791" customFormat="1">
      <c r="A9" s="2792" t="s">
        <v>2707</v>
      </c>
      <c r="B9" s="279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791" customFormat="1">
      <c r="A10" s="2792" t="s">
        <v>2658</v>
      </c>
      <c r="B10" s="2793" t="str">
        <f>'预评函-1'!A11</f>
        <v>2017年12月26日（评估专业人员勘察现场之日）</v>
      </c>
    </row>
    <row r="11" spans="1:55" s="2791" customFormat="1">
      <c r="A11" s="2792" t="s">
        <v>2664</v>
      </c>
      <c r="B11" s="2793" t="str">
        <f>'预评函-1'!A14</f>
        <v>根据[惠湾国用（2012）第号]，本次评估估价对象证载（地类）用途为住宅。</v>
      </c>
    </row>
    <row r="12" spans="1:55" s="2791" customFormat="1">
      <c r="A12" s="2792" t="s">
        <v>2665</v>
      </c>
      <c r="B12" s="2793" t="str">
        <f>'预评函-1'!A15</f>
        <v>根据，估价对象土地规划用途为住宅、商业，上述用途符合《国有土地使用证》证载地类范围。本次评估设定用途为住宅、商业。</v>
      </c>
    </row>
    <row r="13" spans="1:55" s="2791" customFormat="1">
      <c r="A13" s="2792" t="s">
        <v>2666</v>
      </c>
      <c r="B13" s="2793" t="str">
        <f>'预评函-1'!A17</f>
        <v>根据委托估价方介绍及评估专业人员现场勘查，本次评估估价对象实际土地开发程度为红线外市政基础设施达“七通”（即、、、、、、）、宗地红线内场地平整。</v>
      </c>
    </row>
    <row r="14" spans="1:55" s="2791" customFormat="1">
      <c r="A14" s="2792" t="s">
        <v>2667</v>
      </c>
      <c r="B14" s="2793" t="str">
        <f>'预评函-1'!A18</f>
        <v>本次评估设定土地开发程度为红线外市政基础设施达“七通”、宗地红线内场地平整。</v>
      </c>
    </row>
    <row r="15" spans="1:55" s="2791" customFormat="1">
      <c r="A15" s="2792" t="s">
        <v>2663</v>
      </c>
      <c r="B15" s="2793" t="str">
        <f>'预评函-1'!A20</f>
        <v>根据，估价对象（分摊）出让国有建设用地使用权面积为110209平方米。根据，估价对象规划建筑面积为154292.6平方米。</v>
      </c>
    </row>
    <row r="16" spans="1:55" s="2791" customFormat="1">
      <c r="A16" s="2792" t="s">
        <v>2668</v>
      </c>
      <c r="B16" s="2793" t="str">
        <f>'预评函-1'!A22</f>
        <v>本次估价对象为出让国有建设用地使用权，依据[惠湾国用（2012）第号]、，土地终止日期为住宅2081年11月10日、商业2051年11月10日地下车库2061年11月10日。截至估价期日，出让国有建设用地使用权剩余土地使用年限为。</v>
      </c>
    </row>
    <row r="17" spans="1:48" s="2791" customFormat="1">
      <c r="A17" s="2792" t="s">
        <v>2669</v>
      </c>
      <c r="B17" s="2793" t="str">
        <f>'预评函-1'!A23</f>
        <v>本次评估设定估价对象剩余土地使用年限为。</v>
      </c>
    </row>
    <row r="18" spans="1:48" s="2791" customFormat="1">
      <c r="A18" s="2792" t="s">
        <v>2670</v>
      </c>
      <c r="B18" s="279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19" spans="1:48" s="2791" customFormat="1">
      <c r="A19" s="2792" t="s">
        <v>2671</v>
      </c>
      <c r="B19" s="2793" t="str">
        <f>'预评函-1'!A26</f>
        <v>本次估价的“抵押价格”是指估价对象在估价期日的“出让国有建设用地使用权价格”扣减估价师于估价期日所知悉的法定优先受偿款后的余额。</v>
      </c>
    </row>
    <row r="20" spans="1:48" s="2791" customFormat="1">
      <c r="A20" s="2792" t="s">
        <v>2672</v>
      </c>
      <c r="B20" s="27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7" customFormat="1" ht="15" thickBot="1">
      <c r="A21" s="2814" t="s">
        <v>2673</v>
      </c>
      <c r="B21" s="28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3" t="s">
        <v>2674</v>
      </c>
      <c r="B22" s="28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92" t="s">
        <v>2675</v>
      </c>
      <c r="B23" s="2793" t="str">
        <f>'预评函-2'!K2</f>
        <v>估价期日：2017年12月26日</v>
      </c>
    </row>
    <row r="24" spans="1:48">
      <c r="A24" s="2792" t="s">
        <v>2676</v>
      </c>
      <c r="B24" s="2793" t="str">
        <f>'预评函-2'!R2</f>
        <v>估价期日的国有建设用地使用权性质：出让</v>
      </c>
    </row>
    <row r="25" spans="1:48">
      <c r="A25" s="2792" t="s">
        <v>2732</v>
      </c>
      <c r="B25" s="2793" t="str">
        <f>'预评函-2'!A3</f>
        <v>估价期日土地使用者</v>
      </c>
    </row>
    <row r="26" spans="1:48">
      <c r="A26" s="2792" t="s">
        <v>2708</v>
      </c>
      <c r="B26" s="2793" t="str">
        <f>'预评函-2'!A5</f>
        <v>中信开发</v>
      </c>
    </row>
    <row r="27" spans="1:48">
      <c r="A27" s="2792" t="s">
        <v>2733</v>
      </c>
      <c r="B27" s="2793" t="str">
        <f>'预评函-2'!B3</f>
        <v>宗地编号/不动产单元号</v>
      </c>
    </row>
    <row r="28" spans="1:48">
      <c r="A28" s="2792" t="s">
        <v>2709</v>
      </c>
      <c r="B28" s="2793" t="str">
        <f>'预评函-2'!B5</f>
        <v>11111111111</v>
      </c>
    </row>
    <row r="29" spans="1:48">
      <c r="A29" s="2792" t="s">
        <v>2735</v>
      </c>
      <c r="B29" s="2793">
        <f>'预评函-2'!C5</f>
        <v>22</v>
      </c>
    </row>
    <row r="30" spans="1:48">
      <c r="A30" s="2792" t="s">
        <v>2736</v>
      </c>
      <c r="B30" s="2793" t="str">
        <f>'预评函-2'!D3</f>
        <v>土地使用证编号/不动产权证书编号</v>
      </c>
    </row>
    <row r="31" spans="1:48">
      <c r="A31" s="2792" t="s">
        <v>2710</v>
      </c>
      <c r="B31" s="2793" t="str">
        <f>'预评函-2'!D5</f>
        <v>京国土字第111号</v>
      </c>
    </row>
    <row r="32" spans="1:48">
      <c r="A32" s="2792" t="s">
        <v>2711</v>
      </c>
      <c r="B32" s="2793" t="str">
        <f>'预评函-2'!E5</f>
        <v>住宅</v>
      </c>
      <c r="AV32" s="2797"/>
    </row>
    <row r="33" spans="1:2">
      <c r="A33" s="2792" t="s">
        <v>2712</v>
      </c>
      <c r="B33" s="2793">
        <f>'预评函-2'!F5</f>
        <v>258</v>
      </c>
    </row>
    <row r="34" spans="1:2">
      <c r="A34" s="2792" t="s">
        <v>2713</v>
      </c>
      <c r="B34" s="2793" t="str">
        <f>'预评函-2'!G5</f>
        <v>住宅、商业</v>
      </c>
    </row>
    <row r="35" spans="1:2">
      <c r="A35" s="2792" t="s">
        <v>2714</v>
      </c>
      <c r="B35" s="2793">
        <f>'预评函-2'!H5</f>
        <v>1.5</v>
      </c>
    </row>
    <row r="36" spans="1:2">
      <c r="A36" s="2792" t="s">
        <v>2715</v>
      </c>
      <c r="B36" s="2793">
        <f>'预评函-2'!I5</f>
        <v>1.5</v>
      </c>
    </row>
    <row r="37" spans="1:2">
      <c r="A37" s="2792" t="s">
        <v>2716</v>
      </c>
      <c r="B37" s="2793">
        <f>'预评函-2'!J5</f>
        <v>1.5</v>
      </c>
    </row>
    <row r="38" spans="1:2">
      <c r="A38" s="2792" t="s">
        <v>2717</v>
      </c>
      <c r="B38" s="2793" t="str">
        <f>'预评函-2'!K5</f>
        <v>红线外七通、宗地红线内场地平整</v>
      </c>
    </row>
    <row r="39" spans="1:2">
      <c r="A39" s="2792" t="s">
        <v>2718</v>
      </c>
      <c r="B39" s="2793" t="str">
        <f>'预评函-2'!L5</f>
        <v>红线外七通、宗地红线内场地平整</v>
      </c>
    </row>
    <row r="40" spans="1:2">
      <c r="A40" s="2792" t="s">
        <v>2737</v>
      </c>
      <c r="B40" s="2793" t="str">
        <f>'预评函-2'!M3</f>
        <v>（剩余）土地使用年限/年</v>
      </c>
    </row>
    <row r="41" spans="1:2">
      <c r="A41" s="2792" t="s">
        <v>2719</v>
      </c>
      <c r="B41" s="2793">
        <f>'预评函-2'!M5</f>
        <v>0</v>
      </c>
    </row>
    <row r="42" spans="1:2">
      <c r="A42" s="2792" t="s">
        <v>2738</v>
      </c>
      <c r="B42" s="2793" t="str">
        <f>'预评函-2'!N3</f>
        <v>（分摊）出让国有建设用地使用权面积/㎡</v>
      </c>
    </row>
    <row r="43" spans="1:2">
      <c r="A43" s="2792" t="s">
        <v>2720</v>
      </c>
      <c r="B43" s="2793">
        <f>'预评函-2'!N5</f>
        <v>110209</v>
      </c>
    </row>
    <row r="44" spans="1:2">
      <c r="A44" s="2792" t="s">
        <v>2739</v>
      </c>
      <c r="B44" s="2793" t="str">
        <f>'预评函-2'!O3</f>
        <v>规划建筑面积/㎡</v>
      </c>
    </row>
    <row r="45" spans="1:2">
      <c r="A45" s="2792" t="s">
        <v>2721</v>
      </c>
      <c r="B45" s="2793">
        <f>'预评函-2'!O5</f>
        <v>154292.6</v>
      </c>
    </row>
    <row r="46" spans="1:2">
      <c r="A46" s="2792" t="s">
        <v>2722</v>
      </c>
      <c r="B46" s="2793">
        <f ca="1">'预评函-2'!P5</f>
        <v>6543</v>
      </c>
    </row>
    <row r="47" spans="1:2">
      <c r="A47" s="2792" t="s">
        <v>2723</v>
      </c>
      <c r="B47" s="2793">
        <f ca="1">'预评函-2'!Q5</f>
        <v>4674</v>
      </c>
    </row>
    <row r="48" spans="1:2">
      <c r="A48" s="2792" t="s">
        <v>2724</v>
      </c>
      <c r="B48" s="2793">
        <f ca="1">'预评函-2'!R5</f>
        <v>72109</v>
      </c>
    </row>
    <row r="49" spans="1:2">
      <c r="A49" s="2792" t="s">
        <v>2740</v>
      </c>
      <c r="B49" s="2793" t="str">
        <f>'预评函-2'!A6</f>
        <v>抵押价格</v>
      </c>
    </row>
    <row r="50" spans="1:2">
      <c r="A50" s="2792" t="s">
        <v>2725</v>
      </c>
      <c r="B50" s="2793">
        <f ca="1">'预评函-2'!R6</f>
        <v>72109</v>
      </c>
    </row>
    <row r="51" spans="1:2">
      <c r="A51" s="2792" t="s">
        <v>2741</v>
      </c>
      <c r="B51" s="2793" t="str">
        <f>'预评函-2'!A7</f>
        <v>——</v>
      </c>
    </row>
    <row r="52" spans="1:2">
      <c r="A52" s="2792" t="s">
        <v>2726</v>
      </c>
      <c r="B52" s="2793" t="str">
        <f>'预评函-2'!R7</f>
        <v>——</v>
      </c>
    </row>
    <row r="53" spans="1:2">
      <c r="A53" s="2792" t="s">
        <v>2742</v>
      </c>
      <c r="B53" s="2793">
        <f>'预评函-2'!A8</f>
        <v>0</v>
      </c>
    </row>
    <row r="54" spans="1:2" s="2807" customFormat="1" ht="15" thickBot="1">
      <c r="A54" s="2814" t="s">
        <v>2727</v>
      </c>
      <c r="B54" s="2815" t="str">
        <f>'预评函-2'!R8</f>
        <v>——</v>
      </c>
    </row>
    <row r="55" spans="1:2" ht="15" thickTop="1">
      <c r="A55" s="2803" t="s">
        <v>2677</v>
      </c>
      <c r="B55" s="2804" t="str">
        <f>'预评函-3'!A2</f>
        <v>1.权利限制：根据估价对象、，截至估价期日，估价对象抵押权未见登记。未设定租赁等其他他项权利。</v>
      </c>
    </row>
    <row r="56" spans="1:2">
      <c r="A56" s="2792" t="s">
        <v>2678</v>
      </c>
      <c r="B56" s="2793" t="str">
        <f>'预评函-3'!A3</f>
        <v>2.基础设施条件：估价对象实际开发程度为红线外七通、宗地红线内场地平整；本次评估设定开发程度为红线外七通、宗地红线内场地平整。</v>
      </c>
    </row>
    <row r="57" spans="1:2">
      <c r="A57" s="2792" t="s">
        <v>2679</v>
      </c>
      <c r="B57" s="2793" t="str">
        <f>'预评函-3'!A4</f>
        <v>3.估价规划限制条件：详见。</v>
      </c>
    </row>
    <row r="58" spans="1:2" s="2807" customFormat="1" ht="15" thickBot="1">
      <c r="A58" s="2814" t="s">
        <v>2728</v>
      </c>
      <c r="B58" s="2815" t="str">
        <f>'预评函-3'!A5</f>
        <v>4.影响价格的其他限定条件：无。</v>
      </c>
    </row>
    <row r="59" spans="1:2" ht="15" thickTop="1">
      <c r="A59" s="2803" t="s">
        <v>2680</v>
      </c>
      <c r="B59" s="2804" t="str">
        <f>'预评函-3'!A8</f>
        <v>2.本《评估意见函》仅供金融机构进行内部审核使用，不做其他目的之用。</v>
      </c>
    </row>
    <row r="60" spans="1:2">
      <c r="A60" s="2792" t="s">
        <v>2681</v>
      </c>
      <c r="B60" s="2793" t="str">
        <f>'预评函-3'!A9</f>
        <v>3.抵押双方在办理抵押登记手续时，应使用本公司出具的正式《土地估价报告》，特提请报告使用者注意。</v>
      </c>
    </row>
    <row r="61" spans="1:2">
      <c r="A61" s="2792" t="s">
        <v>2683</v>
      </c>
      <c r="B61" s="2793" t="str">
        <f>'预评函-3'!A10</f>
        <v>4.估价师所知悉的法定优先受偿款情况为：</v>
      </c>
    </row>
    <row r="62" spans="1:2">
      <c r="A62" s="2792" t="s">
        <v>2682</v>
      </c>
      <c r="B62" s="2793" t="str">
        <f>'预评函-3'!A11</f>
        <v>（1）根据估价对象、，截至估价期日，估价对象抵押权未见登记。</v>
      </c>
    </row>
    <row r="63" spans="1:2">
      <c r="A63" s="2792" t="s">
        <v>2684</v>
      </c>
      <c r="B63" s="27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2" t="s">
        <v>2685</v>
      </c>
      <c r="B64" s="2798" t="str">
        <f>'预评函-3'!A13</f>
        <v>（3）。</v>
      </c>
    </row>
    <row r="65" spans="1:2">
      <c r="A65" s="2792" t="s">
        <v>2686</v>
      </c>
      <c r="B65" s="2799" t="str">
        <f>'预评函-3'!A14</f>
        <v>综上，本次评估不存在估价师知悉的法定优先受偿款</v>
      </c>
    </row>
    <row r="66" spans="1:2">
      <c r="A66" s="2792" t="s">
        <v>2687</v>
      </c>
      <c r="B66" s="27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2" t="s">
        <v>2688</v>
      </c>
      <c r="B67" s="27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7" customFormat="1" ht="15" thickBot="1">
      <c r="A68" s="2814" t="s">
        <v>2691</v>
      </c>
      <c r="B68" s="2818">
        <f>'预评函-3'!D30</f>
        <v>42558</v>
      </c>
    </row>
    <row r="69" spans="1:2" ht="15" thickTop="1">
      <c r="A69" s="2803" t="s">
        <v>2689</v>
      </c>
      <c r="B69" s="2804" t="str">
        <f>'预评函-3'!A20</f>
        <v>梁津</v>
      </c>
    </row>
    <row r="70" spans="1:2">
      <c r="A70" s="2792" t="s">
        <v>2689</v>
      </c>
      <c r="B70" s="2799">
        <f ca="1">'预评函-3'!B20</f>
        <v>96010014</v>
      </c>
    </row>
    <row r="71" spans="1:2">
      <c r="A71" s="2792" t="s">
        <v>2690</v>
      </c>
      <c r="B71" s="2793" t="str">
        <f>'预评函-3'!A21</f>
        <v>王鹏</v>
      </c>
    </row>
    <row r="72" spans="1:2" s="2807" customFormat="1" ht="15" thickBot="1">
      <c r="A72" s="2814" t="s">
        <v>2690</v>
      </c>
      <c r="B72" s="2820">
        <f ca="1">'预评函-3'!B21</f>
        <v>2002110030</v>
      </c>
    </row>
    <row r="73" spans="1:2" ht="15" thickTop="1">
      <c r="A73" s="2803" t="s">
        <v>2749</v>
      </c>
      <c r="B73" s="28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2" t="s">
        <v>2750</v>
      </c>
      <c r="B74" s="2800" t="str">
        <f>'预评函-1 (储备)'!A18</f>
        <v>由于本次评估估价目的是评估储备国有建设用地使用权的“抵押价格”，因此本次评估设定土地开发程度为红线外市政基础设施达“七通”、宗地红线内场地平整。</v>
      </c>
    </row>
    <row r="75" spans="1:2" s="2807" customFormat="1" ht="15" thickBot="1">
      <c r="A75" s="2814" t="s">
        <v>2751</v>
      </c>
      <c r="B75" s="28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1" t="s">
        <v>2786</v>
      </c>
      <c r="B76" s="280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1" sqref="G31"/>
    </sheetView>
  </sheetViews>
  <sheetFormatPr defaultColWidth="10" defaultRowHeight="14.25"/>
  <cols>
    <col min="1" max="1" width="15.375" style="3058" customWidth="1"/>
    <col min="2" max="2" width="14.875" style="3058" customWidth="1"/>
    <col min="3" max="3" width="12.625" style="3058" customWidth="1"/>
    <col min="4" max="4" width="13" style="3058" customWidth="1"/>
    <col min="5" max="5" width="12.5" style="3058" customWidth="1"/>
    <col min="6" max="6" width="11.375" style="3058" customWidth="1"/>
    <col min="7" max="7" width="12.375" style="3058" customWidth="1"/>
    <col min="8" max="8" width="10" style="3058" customWidth="1"/>
    <col min="9" max="9" width="12.5" style="3151" customWidth="1"/>
    <col min="10" max="10" width="10" style="3058" customWidth="1"/>
    <col min="11" max="11" width="10" style="3152" customWidth="1"/>
    <col min="12" max="13" width="10" style="3153" customWidth="1"/>
    <col min="14" max="14" width="10" style="3058" customWidth="1"/>
    <col min="15" max="15" width="10" style="3151" customWidth="1"/>
    <col min="16" max="17" width="10" style="3058"/>
    <col min="18" max="18" width="10" style="3058" customWidth="1"/>
    <col min="19" max="16384" width="10" style="3058"/>
  </cols>
  <sheetData>
    <row r="1" spans="1:21" ht="15" thickBot="1">
      <c r="A1" s="3054" t="s">
        <v>1938</v>
      </c>
      <c r="B1" s="3353" t="str">
        <f>IF(B10="北京市","北京市",C10)&amp;F10&amp;B16&amp;"国有建设用地使用权"&amp;B9&amp;"预评估"</f>
        <v>惠州市广东省惠州市大亚湾经济技术开发区霞涌镇乌山头地段出让国有建设用地使用权抵押价格预评估</v>
      </c>
      <c r="C1" s="3354"/>
      <c r="D1" s="3354"/>
      <c r="E1" s="3354"/>
      <c r="F1" s="3354"/>
      <c r="G1" s="3354"/>
      <c r="H1" s="3354"/>
      <c r="I1" s="3355"/>
      <c r="J1" s="3055"/>
      <c r="K1" s="2375" t="str">
        <f>IF(B10="北京市","北京市",C10)&amp;F10&amp;B16&amp;"国有建设用地使用权"&amp;B9</f>
        <v>惠州市广东省惠州市大亚湾经济技术开发区霞涌镇乌山头地段出让国有建设用地使用权抵押价格</v>
      </c>
      <c r="L1" s="3056"/>
      <c r="M1" s="3056"/>
      <c r="N1" s="3055"/>
      <c r="O1" s="3057"/>
      <c r="P1" s="3055"/>
      <c r="Q1" s="3055"/>
      <c r="R1" s="3055"/>
      <c r="S1" s="3055"/>
      <c r="T1" s="3055"/>
      <c r="U1" s="3055"/>
    </row>
    <row r="2" spans="1:21">
      <c r="A2" s="2376" t="s">
        <v>1939</v>
      </c>
      <c r="B2" s="1742"/>
      <c r="D2" s="3055"/>
      <c r="E2" s="3055"/>
      <c r="F2" s="3055"/>
      <c r="G2" s="3055"/>
      <c r="H2" s="2376"/>
      <c r="I2" s="3057"/>
      <c r="J2" s="3055"/>
      <c r="K2" s="2375" t="str">
        <f>IF(B10="北京市","北京市",C10)&amp;F10&amp;B16&amp;"国有建设用地使用权"</f>
        <v>惠州市广东省惠州市大亚湾经济技术开发区霞涌镇乌山头地段出让国有建设用地使用权</v>
      </c>
      <c r="L2" s="3056"/>
      <c r="M2" s="3056"/>
      <c r="N2" s="3055"/>
      <c r="O2" s="3057"/>
      <c r="P2" s="3055"/>
      <c r="Q2" s="3055"/>
      <c r="R2" s="3055"/>
      <c r="S2" s="3055"/>
      <c r="T2" s="3055"/>
      <c r="U2" s="3055"/>
    </row>
    <row r="3" spans="1:21">
      <c r="A3" s="1659" t="s">
        <v>1940</v>
      </c>
      <c r="B3" s="1660">
        <v>43095</v>
      </c>
      <c r="C3" s="3059" t="s">
        <v>1994</v>
      </c>
      <c r="D3" s="1660">
        <v>43095</v>
      </c>
      <c r="E3" s="3055"/>
      <c r="F3" s="3055"/>
      <c r="G3" s="3055"/>
      <c r="H3" s="2376"/>
      <c r="I3" s="3057"/>
      <c r="J3" s="3055"/>
      <c r="K3" s="3060"/>
      <c r="L3" s="3056"/>
      <c r="M3" s="3056"/>
      <c r="N3" s="3055"/>
      <c r="O3" s="3057"/>
      <c r="P3" s="3055"/>
      <c r="Q3" s="3055"/>
      <c r="R3" s="3055"/>
      <c r="S3" s="3055"/>
      <c r="T3" s="3055"/>
      <c r="U3" s="3055"/>
    </row>
    <row r="4" spans="1:21" ht="15" thickBot="1">
      <c r="A4" s="1661" t="s">
        <v>1941</v>
      </c>
      <c r="B4" s="3061" t="s">
        <v>2961</v>
      </c>
      <c r="C4" s="3062">
        <f ca="1">SUMIF(土地估价师,B4,估价师及机构信息!E3:E24)</f>
        <v>96010014</v>
      </c>
      <c r="D4" s="3061" t="s">
        <v>2962</v>
      </c>
      <c r="E4" s="3062">
        <f ca="1">SUMIF(土地估价师,D4,估价师及机构信息!E3:E24)</f>
        <v>2002110030</v>
      </c>
      <c r="F4" s="3061" t="s">
        <v>950</v>
      </c>
      <c r="G4" s="3062">
        <f>SUMIF(土地估价师,F4,估价师及机构信息!E3:E24)</f>
        <v>0</v>
      </c>
      <c r="H4" s="3061" t="s">
        <v>950</v>
      </c>
      <c r="I4" s="3062">
        <f>SUMIF(土地估价师,H4,估价师及机构信息!E3:E24)</f>
        <v>0</v>
      </c>
      <c r="J4" s="3055"/>
      <c r="K4" s="2375" t="str">
        <f>IF(AND(F4="——",H4="——"),B4&amp;"、"&amp;D4,IF(AND(F4&lt;&gt;"——",H4="——"),B4&amp;"、"&amp;D4&amp;"、"&amp;F4,B4&amp;"、"&amp;D4&amp;"、"&amp;F4&amp;"、"&amp;H4))</f>
        <v>梁津、王鹏</v>
      </c>
      <c r="L4" s="3056"/>
      <c r="M4" s="3056"/>
      <c r="N4" s="3055"/>
      <c r="O4" s="3057"/>
      <c r="P4" s="3055"/>
      <c r="Q4" s="3055"/>
      <c r="R4" s="3055"/>
      <c r="S4" s="3055"/>
      <c r="T4" s="3055"/>
      <c r="U4" s="3055"/>
    </row>
    <row r="5" spans="1:21" ht="15" thickTop="1">
      <c r="A5" s="3063" t="s">
        <v>1942</v>
      </c>
      <c r="B5" s="1694" t="s">
        <v>2980</v>
      </c>
      <c r="C5" s="3064"/>
      <c r="D5" s="3065"/>
      <c r="E5" s="3055"/>
      <c r="F5" s="3055"/>
      <c r="G5" s="3055"/>
      <c r="H5" s="2376"/>
      <c r="I5" s="3057"/>
      <c r="J5" s="3055"/>
      <c r="K5" s="3060"/>
      <c r="L5" s="3056"/>
      <c r="M5" s="3056"/>
      <c r="N5" s="3055"/>
      <c r="O5" s="3057"/>
      <c r="P5" s="3055"/>
      <c r="Q5" s="3055"/>
      <c r="R5" s="3055"/>
      <c r="S5" s="3055"/>
      <c r="T5" s="3055"/>
      <c r="U5" s="3055"/>
    </row>
    <row r="6" spans="1:21">
      <c r="A6" s="3059" t="s">
        <v>2705</v>
      </c>
      <c r="B6" s="1694" t="s">
        <v>2981</v>
      </c>
      <c r="C6" s="3066"/>
      <c r="D6" s="3067"/>
      <c r="E6" s="3055"/>
      <c r="F6" s="3055"/>
      <c r="G6" s="3055"/>
      <c r="H6" s="2376"/>
      <c r="I6" s="3057"/>
      <c r="J6" s="3055"/>
      <c r="K6" s="3068" t="str">
        <f>IF(COUNTIF(B6,"*上海银行*"),"上海银行","")</f>
        <v/>
      </c>
      <c r="L6" s="3056"/>
      <c r="M6" s="3056"/>
      <c r="N6" s="3055"/>
      <c r="O6" s="3057"/>
      <c r="P6" s="3055"/>
      <c r="Q6" s="3055"/>
      <c r="R6" s="3055"/>
      <c r="S6" s="3055"/>
      <c r="T6" s="3055"/>
      <c r="U6" s="3055"/>
    </row>
    <row r="7" spans="1:21">
      <c r="A7" s="1692" t="s">
        <v>2706</v>
      </c>
      <c r="B7" s="1694" t="s">
        <v>2980</v>
      </c>
      <c r="C7" s="3066"/>
      <c r="D7" s="3067"/>
      <c r="E7" s="3055"/>
      <c r="F7" s="3055"/>
      <c r="G7" s="3055"/>
      <c r="H7" s="2376"/>
      <c r="I7" s="3057"/>
      <c r="J7" s="3055"/>
      <c r="K7" s="3060"/>
      <c r="L7" s="3056"/>
      <c r="M7" s="3056"/>
      <c r="N7" s="3055"/>
      <c r="O7" s="3057"/>
      <c r="P7" s="3055"/>
      <c r="Q7" s="3055"/>
      <c r="R7" s="3055"/>
      <c r="S7" s="3055"/>
      <c r="T7" s="3055"/>
      <c r="U7" s="3055"/>
    </row>
    <row r="8" spans="1:21">
      <c r="A8" s="1692" t="s">
        <v>1943</v>
      </c>
      <c r="B8" s="3069" t="s">
        <v>2978</v>
      </c>
      <c r="C8" s="3070"/>
      <c r="D8" s="3359" t="s">
        <v>1945</v>
      </c>
      <c r="E8" s="3071" t="s">
        <v>2979</v>
      </c>
      <c r="F8" s="3072"/>
      <c r="G8" s="2376"/>
      <c r="H8" s="2376"/>
      <c r="I8" s="3073"/>
      <c r="J8" s="3055"/>
      <c r="K8" s="3060"/>
      <c r="L8" s="3056"/>
      <c r="M8" s="3056"/>
      <c r="N8" s="3055"/>
      <c r="O8" s="3057"/>
      <c r="P8" s="3055"/>
      <c r="Q8" s="3055"/>
      <c r="R8" s="3055"/>
      <c r="S8" s="3055"/>
      <c r="T8" s="3055"/>
      <c r="U8" s="3055"/>
    </row>
    <row r="9" spans="1:21" ht="15" thickBot="1">
      <c r="A9" s="3074" t="s">
        <v>1944</v>
      </c>
      <c r="B9" s="1662" t="s">
        <v>2979</v>
      </c>
      <c r="C9" s="3075"/>
      <c r="D9" s="3360"/>
      <c r="E9" s="1662"/>
      <c r="F9" s="3076"/>
      <c r="G9" s="3077"/>
      <c r="H9" s="3077"/>
      <c r="I9" s="3078"/>
      <c r="J9" s="3055"/>
      <c r="K9" s="3060"/>
      <c r="L9" s="3056"/>
      <c r="M9" s="3056"/>
      <c r="N9" s="3055"/>
      <c r="O9" s="3057"/>
      <c r="P9" s="3055"/>
      <c r="Q9" s="3055"/>
      <c r="R9" s="3055"/>
      <c r="S9" s="3055"/>
      <c r="T9" s="3055"/>
      <c r="U9" s="3055"/>
    </row>
    <row r="10" spans="1:21" ht="15" thickTop="1">
      <c r="A10" s="1677" t="s">
        <v>1997</v>
      </c>
      <c r="B10" s="3079" t="s">
        <v>2963</v>
      </c>
      <c r="C10" s="3080" t="s">
        <v>2964</v>
      </c>
      <c r="D10" s="3065"/>
      <c r="E10" s="3081" t="s">
        <v>1947</v>
      </c>
      <c r="F10" s="1663" t="s">
        <v>2965</v>
      </c>
      <c r="G10" s="3082"/>
      <c r="H10" s="3083"/>
      <c r="I10" s="3065"/>
      <c r="J10" s="3055"/>
      <c r="K10" s="3060"/>
      <c r="L10" s="3056"/>
      <c r="M10" s="3056"/>
      <c r="N10" s="3055"/>
      <c r="O10" s="3057"/>
      <c r="P10" s="3055"/>
      <c r="Q10" s="3055"/>
      <c r="R10" s="3055"/>
      <c r="S10" s="3055"/>
      <c r="T10" s="3055"/>
      <c r="U10" s="3055"/>
    </row>
    <row r="11" spans="1:21">
      <c r="A11" s="1665" t="s">
        <v>1998</v>
      </c>
      <c r="B11" s="3084" t="s">
        <v>2966</v>
      </c>
      <c r="C11" s="3053" t="s">
        <v>2967</v>
      </c>
      <c r="D11" s="3085"/>
      <c r="E11" s="2376"/>
      <c r="F11" s="2376"/>
      <c r="G11" s="2376"/>
      <c r="H11" s="2376"/>
      <c r="I11" s="2376"/>
      <c r="J11" s="3055"/>
      <c r="K11" s="3060"/>
      <c r="L11" s="3056"/>
      <c r="M11" s="3056"/>
      <c r="N11" s="3055"/>
      <c r="O11" s="3057"/>
      <c r="P11" s="3055"/>
      <c r="Q11" s="3055"/>
      <c r="R11" s="3055"/>
      <c r="S11" s="3055"/>
      <c r="T11" s="3055"/>
      <c r="U11" s="3055"/>
    </row>
    <row r="12" spans="1:21">
      <c r="A12" s="1692" t="s">
        <v>2056</v>
      </c>
      <c r="B12" s="3356" t="s">
        <v>2968</v>
      </c>
      <c r="C12" s="3357"/>
      <c r="D12" s="3358"/>
      <c r="E12" s="1674" t="s">
        <v>2059</v>
      </c>
      <c r="F12" s="3356" t="s">
        <v>2969</v>
      </c>
      <c r="G12" s="3357"/>
      <c r="H12" s="3357"/>
      <c r="I12" s="3358"/>
      <c r="J12" s="3055"/>
      <c r="K12" s="3060"/>
      <c r="L12" s="3056"/>
      <c r="M12" s="3056"/>
      <c r="N12" s="3055"/>
      <c r="O12" s="3057"/>
      <c r="P12" s="3055"/>
      <c r="Q12" s="3055"/>
      <c r="R12" s="3055"/>
      <c r="S12" s="3055"/>
      <c r="T12" s="3055"/>
      <c r="U12" s="3055"/>
    </row>
    <row r="13" spans="1:21">
      <c r="A13" s="1659" t="s">
        <v>2057</v>
      </c>
      <c r="B13" s="3356" t="s">
        <v>2970</v>
      </c>
      <c r="C13" s="3357"/>
      <c r="D13" s="3358"/>
      <c r="E13" s="1674" t="s">
        <v>2059</v>
      </c>
      <c r="F13" s="3356"/>
      <c r="G13" s="3357"/>
      <c r="H13" s="3357"/>
      <c r="I13" s="3358"/>
      <c r="J13" s="3055"/>
      <c r="K13" s="3060"/>
      <c r="L13" s="3056"/>
      <c r="M13" s="3056"/>
      <c r="N13" s="3055"/>
      <c r="O13" s="3057"/>
      <c r="P13" s="3055"/>
      <c r="Q13" s="3055"/>
      <c r="R13" s="3055"/>
      <c r="S13" s="3055"/>
      <c r="T13" s="3055"/>
      <c r="U13" s="3055"/>
    </row>
    <row r="14" spans="1:21">
      <c r="A14" s="1659" t="s">
        <v>2060</v>
      </c>
      <c r="B14" s="1674"/>
      <c r="C14" s="3086" t="s">
        <v>2971</v>
      </c>
      <c r="D14" s="1674" t="str">
        <f>IF(C14="不一致","是否符合证载地类范围","")</f>
        <v>是否符合证载地类范围</v>
      </c>
      <c r="E14" s="1674"/>
      <c r="F14" s="1695" t="s">
        <v>2972</v>
      </c>
      <c r="G14" s="1673"/>
      <c r="H14" s="1673"/>
      <c r="I14" s="1740"/>
      <c r="J14" s="3055"/>
      <c r="K14" s="3060"/>
      <c r="L14" s="3056"/>
      <c r="M14" s="3056"/>
      <c r="N14" s="3055"/>
      <c r="O14" s="3057"/>
      <c r="P14" s="3055"/>
      <c r="Q14" s="3055"/>
      <c r="R14" s="3055"/>
      <c r="S14" s="3055"/>
      <c r="T14" s="3055"/>
      <c r="U14" s="3055"/>
    </row>
    <row r="15" spans="1:21" hidden="1">
      <c r="A15" s="3050"/>
      <c r="B15" s="3059"/>
      <c r="C15" s="3059"/>
      <c r="D15" s="3087" t="s">
        <v>1950</v>
      </c>
      <c r="E15" s="3087" t="s">
        <v>1951</v>
      </c>
      <c r="F15" s="3087" t="s">
        <v>1952</v>
      </c>
      <c r="G15" s="3088" t="s">
        <v>1953</v>
      </c>
      <c r="H15" s="3088" t="s">
        <v>1954</v>
      </c>
      <c r="I15" s="3088" t="s">
        <v>1955</v>
      </c>
      <c r="J15" s="3055"/>
      <c r="K15" s="3060"/>
      <c r="L15" s="3056"/>
      <c r="M15" s="3056"/>
      <c r="N15" s="3055"/>
      <c r="O15" s="3057"/>
      <c r="P15" s="3055"/>
      <c r="Q15" s="3055"/>
      <c r="R15" s="3055"/>
      <c r="S15" s="3055"/>
      <c r="T15" s="3055"/>
      <c r="U15" s="3055"/>
    </row>
    <row r="16" spans="1:21">
      <c r="A16" s="3089" t="s">
        <v>1948</v>
      </c>
      <c r="B16" s="3090" t="s">
        <v>2973</v>
      </c>
      <c r="C16" s="1674" t="s">
        <v>1949</v>
      </c>
      <c r="D16" s="3087" t="s">
        <v>1950</v>
      </c>
      <c r="E16" s="3091" t="s">
        <v>2974</v>
      </c>
      <c r="F16" s="3091"/>
      <c r="G16" s="3091" t="s">
        <v>35</v>
      </c>
      <c r="H16" s="3091"/>
      <c r="I16" s="3088" t="s">
        <v>1955</v>
      </c>
      <c r="J16" s="3055"/>
      <c r="K16" s="3092" t="str">
        <f>IF(D17="","",D16&amp;TEXT(D17,"yyyy年m月d日;;"))</f>
        <v>住宅2081年11月10日</v>
      </c>
      <c r="L16" s="1674" t="str">
        <f>IF(OR(K16="",M16=""),"","、")</f>
        <v>、</v>
      </c>
      <c r="M16" s="3092" t="str">
        <f>IF(E17="","",E16&amp;TEXT(E17,"yyyy年m月d日;;"))</f>
        <v>商业2051年11月10日</v>
      </c>
      <c r="N16" s="1674" t="str">
        <f>IF(OR(M16="",O16=""),"","、")</f>
        <v/>
      </c>
      <c r="O16" s="3092" t="str">
        <f>IF(F17="","",F16&amp;TEXT(F17,"yyyy年m月d日;;"))</f>
        <v/>
      </c>
      <c r="P16" s="1674" t="str">
        <f>IF(OR(O16="",Q16=""),"","、")</f>
        <v/>
      </c>
      <c r="Q16" s="3092" t="str">
        <f>IF(G17="","",G16&amp;TEXT(G17,"yyyy年m月d日;;"))</f>
        <v>地下车库2061年11月10日</v>
      </c>
      <c r="R16" s="1674" t="str">
        <f>IF(OR(Q16="",S16=""),"","、")</f>
        <v/>
      </c>
      <c r="S16" s="3092" t="str">
        <f>IF(H17="","",H16&amp;TEXT(H17,"yyyy年m月d日;;"))</f>
        <v/>
      </c>
      <c r="T16" s="1674" t="str">
        <f>IF(OR(S16="",U16=""),"","、")</f>
        <v/>
      </c>
      <c r="U16" s="3092" t="str">
        <f>IF(I17="","",I16&amp;TEXT(I17,"yyyy年m月d日;;"))</f>
        <v/>
      </c>
    </row>
    <row r="17" spans="1:21">
      <c r="A17" s="3048"/>
      <c r="B17" s="3093"/>
      <c r="C17" s="3094" t="s">
        <v>1956</v>
      </c>
      <c r="D17" s="1666">
        <v>66425</v>
      </c>
      <c r="E17" s="1666">
        <v>55467</v>
      </c>
      <c r="F17" s="1666"/>
      <c r="G17" s="1666">
        <v>59120</v>
      </c>
      <c r="H17" s="1666"/>
      <c r="I17" s="1666"/>
      <c r="J17" s="3055"/>
      <c r="K17" s="2375" t="str">
        <f>CONCATENATE(K16,L16,M16,N16,O16,P16,Q16,R16,S16,T16,,U16)</f>
        <v>住宅2081年11月10日、商业2051年11月10日地下车库2061年11月10日</v>
      </c>
      <c r="L17" s="3056"/>
      <c r="M17" s="3056"/>
      <c r="N17" s="3055"/>
      <c r="O17" s="3057"/>
      <c r="P17" s="3055"/>
      <c r="Q17" s="3055"/>
      <c r="R17" s="3055"/>
      <c r="S17" s="3055"/>
      <c r="T17" s="3055"/>
      <c r="U17" s="3055"/>
    </row>
    <row r="18" spans="1:21">
      <c r="A18" s="3048"/>
      <c r="B18" s="3093"/>
      <c r="C18" s="3094" t="s">
        <v>1957</v>
      </c>
      <c r="D18" s="1664">
        <v>70</v>
      </c>
      <c r="E18" s="1664">
        <v>40</v>
      </c>
      <c r="F18" s="1664"/>
      <c r="G18" s="1664">
        <v>50</v>
      </c>
      <c r="H18" s="1664"/>
      <c r="I18" s="1664"/>
      <c r="J18" s="3055"/>
      <c r="K18" s="3060"/>
      <c r="L18" s="3056"/>
      <c r="M18" s="3056"/>
      <c r="N18" s="3055"/>
      <c r="O18" s="3057"/>
      <c r="P18" s="3055"/>
      <c r="Q18" s="3055"/>
      <c r="R18" s="3055"/>
      <c r="S18" s="3055"/>
      <c r="T18" s="3055"/>
      <c r="U18" s="3055"/>
    </row>
    <row r="19" spans="1:21">
      <c r="A19" s="3048"/>
      <c r="B19" s="3093"/>
      <c r="C19" s="2376" t="s">
        <v>1958</v>
      </c>
      <c r="D19" s="3095">
        <f>IF(B16="出让",IF(D17="","",ROUNDDOWN(MIN((D17-$D$3)/365,D18),2)),D18)</f>
        <v>63.91</v>
      </c>
      <c r="E19" s="3096">
        <f>IF(B16="出让",IF(E17="","",ROUNDDOWN(MIN((E17-$D$3)/365,E18),2)),E18)</f>
        <v>33.89</v>
      </c>
      <c r="F19" s="3096" t="str">
        <f>IF(B16="出让",IF(F17="","",ROUNDDOWN(MIN((F17-$D$3)/365,F18),2)),F18)</f>
        <v/>
      </c>
      <c r="G19" s="3096">
        <f>IF(B16="出让",IF(G17="","",ROUNDDOWN(MIN((G17-$D$3)/365,G18),2)),G18)</f>
        <v>43.9</v>
      </c>
      <c r="H19" s="3096" t="str">
        <f>IF(B16="出让",IF(H17="","",ROUNDDOWN(MIN((H17-$D$3)/365,H18),2)),H18)</f>
        <v/>
      </c>
      <c r="I19" s="3096" t="str">
        <f>IF(B16="出让",IF(I17="","",ROUNDDOWN(MIN((I17-$D$3)/365,I18),2)),I18)</f>
        <v/>
      </c>
      <c r="J19" s="3055"/>
      <c r="K19" s="3060"/>
      <c r="L19" s="3056"/>
      <c r="M19" s="3056"/>
      <c r="N19" s="3055"/>
      <c r="O19" s="3057"/>
      <c r="P19" s="3055"/>
      <c r="Q19" s="3055"/>
      <c r="R19" s="3055"/>
      <c r="S19" s="3055"/>
      <c r="T19" s="3055"/>
      <c r="U19" s="3055"/>
    </row>
    <row r="20" spans="1:21">
      <c r="A20" s="3097"/>
      <c r="B20" s="3098"/>
      <c r="C20" s="1693" t="s">
        <v>2058</v>
      </c>
      <c r="D20" s="3371"/>
      <c r="E20" s="3372"/>
      <c r="F20" s="3372"/>
      <c r="G20" s="3372"/>
      <c r="H20" s="3372"/>
      <c r="I20" s="3373"/>
      <c r="J20" s="3055"/>
      <c r="K20" s="3060"/>
      <c r="L20" s="3056"/>
      <c r="M20" s="3056"/>
      <c r="N20" s="3055"/>
      <c r="O20" s="3057"/>
      <c r="P20" s="3055"/>
      <c r="Q20" s="3055"/>
      <c r="R20" s="3055"/>
      <c r="S20" s="3055"/>
      <c r="T20" s="3055"/>
      <c r="U20" s="3055"/>
    </row>
    <row r="21" spans="1:21">
      <c r="A21" s="3048" t="s">
        <v>1959</v>
      </c>
      <c r="B21" s="3049" t="s">
        <v>1960</v>
      </c>
      <c r="C21" s="3099">
        <f>'数据-汇总表'!E3</f>
        <v>154292.6</v>
      </c>
      <c r="D21" s="3049" t="s">
        <v>1961</v>
      </c>
      <c r="E21" s="3361"/>
      <c r="F21" s="3362"/>
      <c r="G21" s="3362"/>
      <c r="H21" s="3362"/>
      <c r="I21" s="3363"/>
      <c r="J21" s="3055"/>
      <c r="K21" s="3060"/>
      <c r="L21" s="3056"/>
      <c r="M21" s="3056"/>
      <c r="N21" s="3055"/>
      <c r="O21" s="3057"/>
      <c r="P21" s="3055"/>
      <c r="Q21" s="3055"/>
      <c r="R21" s="3055"/>
      <c r="S21" s="3055"/>
      <c r="T21" s="3055"/>
      <c r="U21" s="3055"/>
    </row>
    <row r="22" spans="1:21">
      <c r="A22" s="3100" t="s">
        <v>950</v>
      </c>
      <c r="B22" s="1659" t="s">
        <v>1962</v>
      </c>
      <c r="C22" s="3088">
        <f>'数据-汇总表'!D3</f>
        <v>110209</v>
      </c>
      <c r="D22" s="1659" t="s">
        <v>1961</v>
      </c>
      <c r="E22" s="3361"/>
      <c r="F22" s="3362"/>
      <c r="G22" s="3362"/>
      <c r="H22" s="3362"/>
      <c r="I22" s="3363"/>
      <c r="J22" s="3055"/>
      <c r="K22" s="3060"/>
      <c r="L22" s="3056"/>
      <c r="M22" s="3056"/>
      <c r="N22" s="3055"/>
      <c r="O22" s="3057"/>
      <c r="P22" s="3055"/>
      <c r="Q22" s="3055"/>
      <c r="R22" s="3055"/>
      <c r="S22" s="3055"/>
      <c r="T22" s="3055"/>
      <c r="U22" s="3055"/>
    </row>
    <row r="23" spans="1:21" ht="15" thickBot="1">
      <c r="A23" s="3050" t="s">
        <v>1963</v>
      </c>
      <c r="B23" s="1667" t="s">
        <v>1964</v>
      </c>
      <c r="C23" s="3101" t="s">
        <v>2975</v>
      </c>
      <c r="D23" s="3102" t="s">
        <v>1965</v>
      </c>
      <c r="E23" s="3103" t="s">
        <v>2975</v>
      </c>
      <c r="F23" s="3104" t="str">
        <f>IF(AND(C23="是",E23="否"),"是否提供他项权证或相关说明","")</f>
        <v/>
      </c>
      <c r="G23" s="3105" t="s">
        <v>2975</v>
      </c>
      <c r="H23" s="3055"/>
      <c r="I23" s="3073"/>
      <c r="J23" s="3055"/>
      <c r="K23" s="3060"/>
      <c r="L23" s="3056"/>
      <c r="M23" s="3056"/>
      <c r="N23" s="3055"/>
      <c r="O23" s="3057"/>
      <c r="P23" s="3055"/>
      <c r="Q23" s="3055"/>
      <c r="R23" s="3055"/>
      <c r="S23" s="3055"/>
      <c r="T23" s="3055"/>
      <c r="U23" s="3055"/>
    </row>
    <row r="24" spans="1:21" hidden="1">
      <c r="A24" s="3106" t="s">
        <v>1966</v>
      </c>
      <c r="B24" s="3364" t="s">
        <v>1967</v>
      </c>
      <c r="C24" s="3365"/>
      <c r="D24" s="3366" t="s">
        <v>1968</v>
      </c>
      <c r="E24" s="3367"/>
      <c r="F24" s="1668" t="s">
        <v>1969</v>
      </c>
      <c r="G24" s="3055"/>
      <c r="H24" s="3055"/>
      <c r="I24" s="3073"/>
      <c r="J24" s="3055"/>
      <c r="K24" s="3352" t="s">
        <v>1970</v>
      </c>
      <c r="L24" s="2376" t="str">
        <f>"根据估价对象"&amp;IF(B26="——",B25&amp;C25,B25&amp;C25&amp;"、"&amp;B26&amp;C26)&amp;"，"&amp;IF(C23="是","截至估价期日，估价对象已设定抵押。","截至估价期日，估价对象抵押权未见登记。")</f>
        <v>根据估价对象、，截至估价期日，估价对象抵押权未见登记。</v>
      </c>
      <c r="M24" s="3056"/>
      <c r="N24" s="3055"/>
      <c r="O24" s="3057"/>
      <c r="P24" s="3055"/>
      <c r="Q24" s="3055"/>
      <c r="R24" s="3055"/>
      <c r="S24" s="3055"/>
      <c r="T24" s="3055"/>
      <c r="U24" s="3055"/>
    </row>
    <row r="25" spans="1:21" hidden="1">
      <c r="A25" s="3107"/>
      <c r="B25" s="3108"/>
      <c r="C25" s="3109"/>
      <c r="D25" s="3110"/>
      <c r="E25" s="3111"/>
      <c r="F25" s="3112"/>
      <c r="G25" s="3055"/>
      <c r="H25" s="3055"/>
      <c r="I25" s="3073"/>
      <c r="J25" s="3055"/>
      <c r="K25" s="3352"/>
      <c r="L25" s="23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56"/>
      <c r="N25" s="3055"/>
      <c r="O25" s="3057"/>
      <c r="P25" s="3055"/>
      <c r="Q25" s="3055"/>
      <c r="R25" s="3055"/>
      <c r="S25" s="3055"/>
      <c r="T25" s="3055"/>
      <c r="U25" s="3055"/>
    </row>
    <row r="26" spans="1:21" ht="15" hidden="1" thickBot="1">
      <c r="A26" s="3113"/>
      <c r="B26" s="3114"/>
      <c r="C26" s="3109"/>
      <c r="D26" s="2376"/>
      <c r="E26" s="2376"/>
      <c r="F26" s="3115"/>
      <c r="G26" s="3055"/>
      <c r="H26" s="3055"/>
      <c r="I26" s="3073"/>
      <c r="J26" s="3055"/>
      <c r="K26" s="3352"/>
      <c r="L26" s="23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6"/>
      <c r="N26" s="3055"/>
      <c r="O26" s="3057"/>
      <c r="P26" s="3055"/>
      <c r="Q26" s="3055"/>
      <c r="R26" s="3055"/>
      <c r="S26" s="3055"/>
      <c r="T26" s="3055"/>
      <c r="U26" s="3055"/>
    </row>
    <row r="27" spans="1:21" hidden="1">
      <c r="A27" s="3116" t="s">
        <v>1971</v>
      </c>
      <c r="B27" s="1693" t="s">
        <v>1972</v>
      </c>
      <c r="C27" s="1669"/>
      <c r="D27" s="3117" t="s">
        <v>1972</v>
      </c>
      <c r="E27" s="1670"/>
      <c r="F27" s="3115"/>
      <c r="G27" s="3055"/>
      <c r="H27" s="3055"/>
      <c r="I27" s="3073"/>
      <c r="J27" s="3055"/>
      <c r="K27" s="3060"/>
      <c r="L27" s="3056"/>
      <c r="M27" s="3056"/>
      <c r="N27" s="3055"/>
      <c r="O27" s="3057"/>
      <c r="P27" s="3055"/>
      <c r="Q27" s="3055"/>
      <c r="R27" s="3055"/>
      <c r="S27" s="3055"/>
      <c r="T27" s="3055"/>
      <c r="U27" s="3055"/>
    </row>
    <row r="28" spans="1:21" hidden="1">
      <c r="A28" s="3118"/>
      <c r="B28" s="1693" t="s">
        <v>1973</v>
      </c>
      <c r="C28" s="3119"/>
      <c r="D28" s="3120" t="s">
        <v>1973</v>
      </c>
      <c r="E28" s="3121"/>
      <c r="F28" s="3115"/>
      <c r="G28" s="3055"/>
      <c r="H28" s="3055"/>
      <c r="I28" s="3073"/>
      <c r="J28" s="3055"/>
      <c r="K28" s="3060"/>
      <c r="L28" s="3056"/>
      <c r="M28" s="3056"/>
      <c r="N28" s="3055"/>
      <c r="O28" s="3057"/>
      <c r="P28" s="3055"/>
      <c r="Q28" s="3055"/>
      <c r="R28" s="3055"/>
      <c r="S28" s="3055"/>
      <c r="T28" s="3055"/>
      <c r="U28" s="3055"/>
    </row>
    <row r="29" spans="1:21" hidden="1">
      <c r="A29" s="3118"/>
      <c r="B29" s="1693" t="s">
        <v>1974</v>
      </c>
      <c r="C29" s="3119"/>
      <c r="D29" s="3120" t="s">
        <v>1974</v>
      </c>
      <c r="E29" s="3121"/>
      <c r="F29" s="3115"/>
      <c r="G29" s="3055"/>
      <c r="H29" s="3055"/>
      <c r="I29" s="3073"/>
      <c r="J29" s="3055"/>
      <c r="K29" s="3060"/>
      <c r="L29" s="3056"/>
      <c r="M29" s="3056"/>
      <c r="N29" s="3055"/>
      <c r="O29" s="3057"/>
      <c r="P29" s="3055"/>
      <c r="Q29" s="3055"/>
      <c r="R29" s="3055"/>
      <c r="S29" s="3055"/>
      <c r="T29" s="3055"/>
      <c r="U29" s="3055"/>
    </row>
    <row r="30" spans="1:21" ht="15" thickBot="1">
      <c r="A30" s="3122"/>
      <c r="B30" s="3123" t="s">
        <v>1975</v>
      </c>
      <c r="C30" s="3124"/>
      <c r="D30" s="3125" t="s">
        <v>1975</v>
      </c>
      <c r="E30" s="3126"/>
      <c r="F30" s="3127"/>
      <c r="G30" s="3077"/>
      <c r="H30" s="3077"/>
      <c r="I30" s="3078"/>
      <c r="J30" s="3055"/>
      <c r="K30" s="3060"/>
      <c r="L30" s="3056"/>
      <c r="M30" s="3056"/>
      <c r="N30" s="3055"/>
      <c r="O30" s="3057"/>
      <c r="P30" s="3055"/>
      <c r="Q30" s="3055"/>
      <c r="R30" s="3055"/>
      <c r="S30" s="3055"/>
      <c r="T30" s="3055"/>
      <c r="U30" s="3055"/>
    </row>
    <row r="31" spans="1:21" ht="15" thickTop="1">
      <c r="A31" s="3369" t="s">
        <v>1999</v>
      </c>
      <c r="B31" s="3049" t="s">
        <v>2000</v>
      </c>
      <c r="C31" s="3374" t="s">
        <v>2982</v>
      </c>
      <c r="D31" s="3375"/>
      <c r="E31" s="3055"/>
      <c r="F31" s="3055"/>
      <c r="G31" s="3055"/>
      <c r="H31" s="3055"/>
      <c r="I31" s="3073"/>
      <c r="J31" s="3055"/>
      <c r="K31" s="3128"/>
      <c r="L31" s="3055"/>
      <c r="M31" s="3055"/>
      <c r="N31" s="3055"/>
      <c r="O31" s="3055"/>
      <c r="P31" s="3055"/>
      <c r="Q31" s="3055"/>
      <c r="R31" s="3055"/>
      <c r="S31" s="3055"/>
      <c r="T31" s="3055"/>
      <c r="U31" s="3055"/>
    </row>
    <row r="32" spans="1:21">
      <c r="A32" s="3369"/>
      <c r="B32" s="1659" t="s">
        <v>2001</v>
      </c>
      <c r="C32" s="3079" t="s">
        <v>2983</v>
      </c>
      <c r="D32" s="3129"/>
      <c r="E32" s="3055"/>
      <c r="F32" s="3055"/>
      <c r="G32" s="3055"/>
      <c r="H32" s="3055"/>
      <c r="I32" s="3073"/>
      <c r="J32" s="3055"/>
      <c r="K32" s="3128"/>
      <c r="L32" s="3055"/>
      <c r="M32" s="3055"/>
      <c r="N32" s="3055"/>
      <c r="O32" s="3055"/>
      <c r="P32" s="3055"/>
      <c r="Q32" s="3055"/>
      <c r="R32" s="3055"/>
      <c r="S32" s="3055"/>
      <c r="T32" s="3055"/>
      <c r="U32" s="3055"/>
    </row>
    <row r="33" spans="1:21">
      <c r="A33" s="3369"/>
      <c r="B33" s="1659" t="s">
        <v>2002</v>
      </c>
      <c r="C33" s="1671" t="s">
        <v>2975</v>
      </c>
      <c r="D33" s="1741"/>
      <c r="E33" s="3055"/>
      <c r="F33" s="3055"/>
      <c r="G33" s="3055"/>
      <c r="H33" s="3055"/>
      <c r="I33" s="3073"/>
      <c r="J33" s="3055"/>
      <c r="K33" s="3128"/>
      <c r="L33" s="3055"/>
      <c r="M33" s="3055"/>
      <c r="N33" s="3055"/>
      <c r="O33" s="3055"/>
      <c r="P33" s="3055"/>
      <c r="Q33" s="3055"/>
      <c r="R33" s="3055"/>
      <c r="S33" s="3055"/>
      <c r="T33" s="3055"/>
      <c r="U33" s="3055"/>
    </row>
    <row r="34" spans="1:21">
      <c r="A34" s="3376"/>
      <c r="B34" s="1659" t="s">
        <v>2003</v>
      </c>
      <c r="C34" s="3377" t="s">
        <v>2984</v>
      </c>
      <c r="D34" s="3378"/>
      <c r="E34" s="3055"/>
      <c r="F34" s="3055"/>
      <c r="G34" s="3055"/>
      <c r="H34" s="3055"/>
      <c r="I34" s="3073"/>
      <c r="J34" s="3055"/>
      <c r="K34" s="3128"/>
      <c r="L34" s="3055"/>
      <c r="M34" s="3055"/>
      <c r="N34" s="3055"/>
      <c r="O34" s="3055"/>
      <c r="P34" s="3055"/>
      <c r="Q34" s="3055"/>
      <c r="R34" s="3055"/>
      <c r="S34" s="3055"/>
      <c r="T34" s="3055"/>
      <c r="U34" s="3055"/>
    </row>
    <row r="35" spans="1:21">
      <c r="A35" s="3368" t="s">
        <v>845</v>
      </c>
      <c r="B35" s="3091" t="s">
        <v>2977</v>
      </c>
      <c r="C35" s="3130" t="str">
        <f>IF(B35="场地平整","——","具体情况：")</f>
        <v>——</v>
      </c>
      <c r="D35" s="3380"/>
      <c r="E35" s="3381"/>
      <c r="F35" s="3381"/>
      <c r="G35" s="3381"/>
      <c r="H35" s="3381"/>
      <c r="I35" s="3382"/>
      <c r="J35" s="3055"/>
      <c r="K35" s="1683"/>
      <c r="L35" s="3056"/>
      <c r="M35" s="3056"/>
      <c r="N35" s="3055"/>
      <c r="O35" s="3057"/>
      <c r="P35" s="3055"/>
      <c r="Q35" s="3055"/>
      <c r="R35" s="3055"/>
      <c r="S35" s="3055"/>
      <c r="T35" s="3055"/>
      <c r="U35" s="3055"/>
    </row>
    <row r="36" spans="1:21">
      <c r="A36" s="3369"/>
      <c r="B36" s="3383" t="s">
        <v>2052</v>
      </c>
      <c r="C36" s="3384"/>
      <c r="D36" s="1695" t="s">
        <v>2976</v>
      </c>
      <c r="E36" s="3385"/>
      <c r="F36" s="3385"/>
      <c r="G36" s="1659" t="str">
        <f>IF(B35="场地未平整","估价结果处理","")</f>
        <v/>
      </c>
      <c r="H36" s="3386"/>
      <c r="I36" s="3386"/>
      <c r="J36" s="3055"/>
      <c r="K36" s="1683"/>
      <c r="L36" s="3056"/>
      <c r="M36" s="3056"/>
      <c r="N36" s="3055"/>
      <c r="O36" s="3057"/>
      <c r="P36" s="3055"/>
      <c r="Q36" s="3055"/>
      <c r="R36" s="3055"/>
      <c r="S36" s="3055"/>
      <c r="T36" s="3055"/>
      <c r="U36" s="3055"/>
    </row>
    <row r="37" spans="1:21">
      <c r="A37" s="3369"/>
      <c r="B37" s="3368" t="s">
        <v>846</v>
      </c>
      <c r="C37" s="1665" t="s">
        <v>847</v>
      </c>
      <c r="D37" s="3131">
        <v>41132</v>
      </c>
      <c r="E37" s="3132"/>
      <c r="F37" s="3055"/>
      <c r="G37" s="3055"/>
      <c r="H37" s="3055"/>
      <c r="I37" s="3073"/>
      <c r="J37" s="3055"/>
      <c r="K37" s="1683"/>
      <c r="L37" s="3055"/>
      <c r="M37" s="3055"/>
      <c r="N37" s="3055"/>
      <c r="O37" s="3055"/>
      <c r="P37" s="3055"/>
      <c r="Q37" s="3055"/>
      <c r="R37" s="3055"/>
      <c r="S37" s="3055"/>
      <c r="T37" s="3055"/>
      <c r="U37" s="3055"/>
    </row>
    <row r="38" spans="1:21">
      <c r="A38" s="3369"/>
      <c r="B38" s="3369"/>
      <c r="C38" s="1692" t="s">
        <v>848</v>
      </c>
      <c r="D38" s="3133">
        <f>ROUNDDOWN(MIN(('数据-取费表'!$B$2-D37)/365,D34),1)</f>
        <v>5.3</v>
      </c>
      <c r="E38" s="1672" t="s">
        <v>849</v>
      </c>
      <c r="F38" s="3055"/>
      <c r="G38" s="3055"/>
      <c r="H38" s="3055"/>
      <c r="I38" s="3073"/>
      <c r="J38" s="3055"/>
      <c r="K38" s="1683"/>
      <c r="L38" s="3055"/>
      <c r="M38" s="3055"/>
      <c r="N38" s="3055"/>
      <c r="O38" s="3055"/>
      <c r="P38" s="3055"/>
      <c r="Q38" s="3055"/>
      <c r="R38" s="3055"/>
      <c r="S38" s="3055"/>
      <c r="T38" s="3055"/>
      <c r="U38" s="3055"/>
    </row>
    <row r="39" spans="1:21">
      <c r="A39" s="3376"/>
      <c r="B39" s="3370"/>
      <c r="C39" s="1665" t="str">
        <f>IF(D38&lt;1,"不存在土地闲置",IF(B35="宗地内已开工建设","已开工，不存在土地闲置","估价对象已涉嫌土地闲置"))</f>
        <v>估价对象已涉嫌土地闲置</v>
      </c>
      <c r="D39" s="1673"/>
      <c r="E39" s="1740"/>
      <c r="F39" s="3055"/>
      <c r="G39" s="3055"/>
      <c r="H39" s="3055"/>
      <c r="I39" s="3073"/>
      <c r="J39" s="3055"/>
      <c r="K39" s="3060"/>
      <c r="L39" s="3056"/>
      <c r="M39" s="3056"/>
      <c r="N39" s="3055"/>
      <c r="O39" s="3057"/>
      <c r="P39" s="3055"/>
      <c r="Q39" s="3055"/>
      <c r="R39" s="3055"/>
      <c r="S39" s="3055"/>
      <c r="T39" s="3055"/>
      <c r="U39" s="3055"/>
    </row>
    <row r="40" spans="1:21">
      <c r="A40" s="1659" t="s">
        <v>1976</v>
      </c>
      <c r="B40" s="3134"/>
      <c r="C40" s="3134"/>
      <c r="D40" s="3134"/>
      <c r="E40" s="3134"/>
      <c r="F40" s="3134"/>
      <c r="G40" s="3134"/>
      <c r="H40" s="3134"/>
      <c r="I40" s="3073"/>
      <c r="J40" s="3055"/>
      <c r="K40" s="3135">
        <f>COUNTIF(B40:H40,"——")</f>
        <v>0</v>
      </c>
      <c r="L40" s="1674" t="s">
        <v>1977</v>
      </c>
      <c r="M40" s="1675" t="s">
        <v>1978</v>
      </c>
      <c r="N40" s="1675" t="s">
        <v>1979</v>
      </c>
      <c r="O40" s="1675" t="s">
        <v>1980</v>
      </c>
      <c r="P40" s="1675" t="s">
        <v>1981</v>
      </c>
      <c r="Q40" s="1675" t="s">
        <v>1982</v>
      </c>
      <c r="R40" s="1675" t="s">
        <v>1983</v>
      </c>
      <c r="S40" s="3351" t="s">
        <v>1984</v>
      </c>
      <c r="T40" s="3136" t="str">
        <f>NUMBERSTRING(7-K40,1)&amp;"通"</f>
        <v>七通</v>
      </c>
      <c r="U40" s="3055"/>
    </row>
    <row r="41" spans="1:21">
      <c r="A41" s="3059"/>
      <c r="B41" s="3379" t="s">
        <v>1720</v>
      </c>
      <c r="C41" s="3379"/>
      <c r="D41" s="3379"/>
      <c r="E41" s="3379"/>
      <c r="F41" s="3137" t="str">
        <f>C10</f>
        <v>惠州市</v>
      </c>
      <c r="G41" s="3055"/>
      <c r="H41" s="3055"/>
      <c r="I41" s="3073"/>
      <c r="J41" s="3055"/>
      <c r="K41" s="1674"/>
      <c r="L41" s="1675">
        <f>B40</f>
        <v>0</v>
      </c>
      <c r="M41" s="1674" t="str">
        <f>B40&amp;"、"&amp;C40</f>
        <v>、</v>
      </c>
      <c r="N41" s="1675" t="str">
        <f>B40&amp;"、"&amp;C40&amp;"、"&amp;D40</f>
        <v>、、</v>
      </c>
      <c r="O41" s="1675" t="str">
        <f>B40&amp;"、"&amp;C40&amp;"、"&amp;D40&amp;"、"&amp;E40</f>
        <v>、、、</v>
      </c>
      <c r="P41" s="1675" t="str">
        <f>B40&amp;"、"&amp;C40&amp;"、"&amp;D40&amp;"、"&amp;E40&amp;"、"&amp;F40</f>
        <v>、、、、</v>
      </c>
      <c r="Q41" s="1675" t="str">
        <f>B40&amp;"、"&amp;C40&amp;"、"&amp;D40&amp;"、"&amp;E40&amp;"、"&amp;F40&amp;"、"&amp;G40</f>
        <v>、、、、、</v>
      </c>
      <c r="R41" s="1675" t="str">
        <f>B40&amp;"、"&amp;C40&amp;"、"&amp;D40&amp;"、"&amp;E40&amp;"、"&amp;F40&amp;"、"&amp;G40&amp;"、"&amp;H40</f>
        <v>、、、、、、</v>
      </c>
      <c r="S41" s="3351"/>
      <c r="T41" s="1674" t="str">
        <f>IF(T40="一通",L41,IF(T40="二通",M41,IF(T40="三通",N41,IF(T40="四通",O41,IF(T40="五通",P41,IF(T40="六通",Q41,R41))))))</f>
        <v>、、、、、、</v>
      </c>
      <c r="U41" s="3055"/>
    </row>
    <row r="42" spans="1:21">
      <c r="A42" s="1667"/>
      <c r="B42" s="3087" t="s">
        <v>1896</v>
      </c>
      <c r="C42" s="3087" t="s">
        <v>1897</v>
      </c>
      <c r="D42" s="3087" t="s">
        <v>1898</v>
      </c>
      <c r="E42" s="1674" t="s">
        <v>1899</v>
      </c>
      <c r="F42" s="3138"/>
      <c r="G42" s="3055"/>
      <c r="H42" s="3055"/>
      <c r="I42" s="3073"/>
      <c r="J42" s="3055"/>
      <c r="K42" s="3060"/>
      <c r="L42" s="3056"/>
      <c r="M42" s="3056"/>
      <c r="N42" s="3055"/>
      <c r="O42" s="3057"/>
      <c r="P42" s="3055"/>
      <c r="Q42" s="3055"/>
      <c r="R42" s="3055"/>
      <c r="S42" s="3055"/>
      <c r="T42" s="3055"/>
      <c r="U42" s="3055"/>
    </row>
    <row r="43" spans="1:21">
      <c r="A43" s="3139" t="s">
        <v>1705</v>
      </c>
      <c r="B43" s="3140"/>
      <c r="C43" s="3140"/>
      <c r="D43" s="3140"/>
      <c r="E43" s="3140"/>
      <c r="F43" s="3141"/>
      <c r="G43" s="3055"/>
      <c r="H43" s="3055"/>
      <c r="I43" s="3073"/>
      <c r="J43" s="3055"/>
      <c r="K43" s="3060"/>
      <c r="L43" s="3056"/>
      <c r="M43" s="3056"/>
      <c r="N43" s="3055"/>
      <c r="O43" s="3057"/>
      <c r="P43" s="3055"/>
      <c r="Q43" s="3055"/>
      <c r="R43" s="3055"/>
      <c r="S43" s="3055"/>
      <c r="T43" s="3055"/>
      <c r="U43" s="3055"/>
    </row>
    <row r="44" spans="1:21">
      <c r="A44" s="3139" t="s">
        <v>1706</v>
      </c>
      <c r="B44" s="3140"/>
      <c r="C44" s="3140"/>
      <c r="D44" s="3140"/>
      <c r="E44" s="1695"/>
      <c r="F44" s="3141"/>
      <c r="G44" s="3055"/>
      <c r="H44" s="3055"/>
      <c r="I44" s="3073"/>
      <c r="J44" s="3055"/>
      <c r="K44" s="3060"/>
      <c r="L44" s="3056"/>
      <c r="M44" s="3056"/>
      <c r="N44" s="3055"/>
      <c r="O44" s="3057"/>
      <c r="P44" s="3055"/>
      <c r="Q44" s="3055"/>
      <c r="R44" s="3055"/>
      <c r="S44" s="3055"/>
      <c r="T44" s="3055"/>
      <c r="U44" s="3055"/>
    </row>
    <row r="45" spans="1:21" s="3146" customFormat="1" ht="21" thickBot="1">
      <c r="A45" s="2982" t="s">
        <v>2887</v>
      </c>
      <c r="B45" s="3142"/>
      <c r="C45" s="3142"/>
      <c r="D45" s="3142"/>
      <c r="E45" s="3142"/>
      <c r="F45" s="3142"/>
      <c r="G45" s="3142"/>
      <c r="H45" s="3142"/>
      <c r="I45" s="3143"/>
      <c r="J45" s="3142"/>
      <c r="K45" s="3144"/>
      <c r="L45" s="3145"/>
      <c r="M45" s="3145"/>
      <c r="N45" s="3142"/>
      <c r="O45" s="3143"/>
      <c r="P45" s="3142"/>
      <c r="Q45" s="3142"/>
      <c r="R45" s="3142"/>
      <c r="S45" s="3142"/>
      <c r="T45" s="3142"/>
      <c r="U45" s="3142"/>
    </row>
    <row r="46" spans="1:21">
      <c r="A46" s="3055"/>
      <c r="B46" s="3055"/>
      <c r="C46" s="3055"/>
      <c r="D46" s="3055"/>
      <c r="E46" s="3055"/>
      <c r="F46" s="3055"/>
      <c r="G46" s="3055"/>
      <c r="H46" s="3055"/>
      <c r="I46" s="3073"/>
      <c r="J46" s="3055"/>
      <c r="K46" s="3060"/>
      <c r="L46" s="3056"/>
      <c r="M46" s="3056"/>
      <c r="N46" s="3055"/>
      <c r="O46" s="3057"/>
      <c r="P46" s="3055"/>
      <c r="Q46" s="3055"/>
      <c r="R46" s="3055"/>
      <c r="S46" s="3055"/>
      <c r="T46" s="3055"/>
      <c r="U46" s="3055"/>
    </row>
    <row r="47" spans="1:21">
      <c r="A47" s="1676" t="s">
        <v>2004</v>
      </c>
      <c r="B47" s="1673"/>
      <c r="C47" s="1740"/>
      <c r="D47" s="3055"/>
      <c r="E47" s="3055"/>
      <c r="F47" s="3055"/>
      <c r="G47" s="3055"/>
      <c r="H47" s="3055"/>
      <c r="I47" s="3057"/>
      <c r="J47" s="3055"/>
      <c r="K47" s="3060"/>
      <c r="L47" s="3056"/>
      <c r="M47" s="3056"/>
      <c r="N47" s="3055"/>
      <c r="O47" s="3057"/>
      <c r="P47" s="3055"/>
      <c r="Q47" s="3055"/>
      <c r="R47" s="3055"/>
      <c r="S47" s="3055"/>
      <c r="T47" s="3055"/>
      <c r="U47" s="3055"/>
    </row>
    <row r="48" spans="1:21">
      <c r="A48" s="1674" t="s">
        <v>2005</v>
      </c>
      <c r="B48" s="3088" t="s">
        <v>2006</v>
      </c>
      <c r="C48" s="3088" t="s">
        <v>2007</v>
      </c>
      <c r="D48" s="3088" t="s">
        <v>2008</v>
      </c>
      <c r="E48" s="3088" t="s">
        <v>2009</v>
      </c>
      <c r="F48" s="3088" t="s">
        <v>2010</v>
      </c>
      <c r="G48" s="3088" t="s">
        <v>2011</v>
      </c>
      <c r="H48" s="3088" t="s">
        <v>2012</v>
      </c>
      <c r="I48" s="3088" t="s">
        <v>2013</v>
      </c>
      <c r="J48" s="3147" t="s">
        <v>2014</v>
      </c>
      <c r="K48" s="3087" t="s">
        <v>2015</v>
      </c>
      <c r="L48" s="3087" t="s">
        <v>2016</v>
      </c>
      <c r="M48" s="3087" t="s">
        <v>2017</v>
      </c>
      <c r="N48" s="3088" t="s">
        <v>2018</v>
      </c>
      <c r="O48" s="3088" t="s">
        <v>2019</v>
      </c>
      <c r="P48" s="3088" t="s">
        <v>2020</v>
      </c>
      <c r="Q48" s="1674" t="s">
        <v>2021</v>
      </c>
      <c r="R48" s="1674" t="s">
        <v>2022</v>
      </c>
      <c r="S48" s="3055"/>
      <c r="T48" s="3055"/>
      <c r="U48" s="3055"/>
    </row>
    <row r="49" spans="1:21">
      <c r="A49" s="1675"/>
      <c r="B49" s="3135"/>
      <c r="C49" s="3135"/>
      <c r="D49" s="3135"/>
      <c r="E49" s="3135"/>
      <c r="F49" s="3135"/>
      <c r="G49" s="3135"/>
      <c r="H49" s="3135"/>
      <c r="I49" s="3135"/>
      <c r="J49" s="3148"/>
      <c r="K49" s="3149"/>
      <c r="L49" s="3149"/>
      <c r="M49" s="3135"/>
      <c r="N49" s="3135"/>
      <c r="O49" s="3135"/>
      <c r="P49" s="3135"/>
      <c r="Q49" s="3135"/>
      <c r="R49" s="3135"/>
      <c r="S49" s="3055"/>
      <c r="T49" s="3055"/>
      <c r="U49" s="3055"/>
    </row>
    <row r="50" spans="1:21">
      <c r="A50" s="1675"/>
      <c r="B50" s="1675"/>
      <c r="C50" s="3135"/>
      <c r="D50" s="3135"/>
      <c r="E50" s="3135"/>
      <c r="F50" s="3135"/>
      <c r="G50" s="3135"/>
      <c r="H50" s="3135"/>
      <c r="I50" s="3135"/>
      <c r="J50" s="3148"/>
      <c r="K50" s="3149"/>
      <c r="L50" s="3149"/>
      <c r="M50" s="3135"/>
      <c r="N50" s="3135"/>
      <c r="O50" s="3135"/>
      <c r="P50" s="3135"/>
      <c r="Q50" s="3135"/>
      <c r="R50" s="3135"/>
      <c r="S50" s="3055"/>
      <c r="T50" s="3055"/>
      <c r="U50" s="3055"/>
    </row>
    <row r="51" spans="1:21">
      <c r="A51" s="1675"/>
      <c r="B51" s="1675"/>
      <c r="C51" s="3135"/>
      <c r="D51" s="3135"/>
      <c r="E51" s="3135"/>
      <c r="F51" s="3135"/>
      <c r="G51" s="3135"/>
      <c r="H51" s="3135"/>
      <c r="I51" s="3135"/>
      <c r="J51" s="3148"/>
      <c r="K51" s="3149"/>
      <c r="L51" s="3149"/>
      <c r="M51" s="3135"/>
      <c r="N51" s="3135"/>
      <c r="O51" s="3135"/>
      <c r="P51" s="3135"/>
      <c r="Q51" s="3135"/>
      <c r="R51" s="3135"/>
      <c r="S51" s="3055"/>
      <c r="T51" s="3055"/>
      <c r="U51" s="3055"/>
    </row>
    <row r="52" spans="1:21">
      <c r="A52" s="1675"/>
      <c r="B52" s="1675"/>
      <c r="C52" s="3135"/>
      <c r="D52" s="3135"/>
      <c r="E52" s="3135"/>
      <c r="F52" s="3135"/>
      <c r="G52" s="3135"/>
      <c r="H52" s="3135"/>
      <c r="I52" s="3135"/>
      <c r="J52" s="3148"/>
      <c r="K52" s="3149"/>
      <c r="L52" s="3149"/>
      <c r="M52" s="3135"/>
      <c r="N52" s="3135"/>
      <c r="O52" s="3135"/>
      <c r="P52" s="3135"/>
      <c r="Q52" s="3135"/>
      <c r="R52" s="3135"/>
      <c r="S52" s="3055"/>
      <c r="T52" s="3055"/>
      <c r="U52" s="3055"/>
    </row>
    <row r="53" spans="1:21">
      <c r="A53" s="1675"/>
      <c r="B53" s="1675"/>
      <c r="C53" s="3135"/>
      <c r="D53" s="3135"/>
      <c r="E53" s="3135"/>
      <c r="F53" s="3135"/>
      <c r="G53" s="3135"/>
      <c r="H53" s="3135"/>
      <c r="I53" s="3135"/>
      <c r="J53" s="3148"/>
      <c r="K53" s="3149"/>
      <c r="L53" s="3149"/>
      <c r="M53" s="3135"/>
      <c r="N53" s="3135"/>
      <c r="O53" s="3135"/>
      <c r="P53" s="3135"/>
      <c r="Q53" s="3135"/>
      <c r="R53" s="3135"/>
      <c r="S53" s="3055"/>
      <c r="T53" s="3055"/>
      <c r="U53" s="3055"/>
    </row>
    <row r="54" spans="1:21">
      <c r="A54" s="1675"/>
      <c r="B54" s="1675"/>
      <c r="C54" s="1675"/>
      <c r="D54" s="1675"/>
      <c r="E54" s="1675"/>
      <c r="F54" s="3135"/>
      <c r="G54" s="1675"/>
      <c r="H54" s="1675"/>
      <c r="I54" s="1675"/>
      <c r="J54" s="3150"/>
      <c r="K54" s="3149"/>
      <c r="L54" s="3149"/>
      <c r="M54" s="3149"/>
      <c r="N54" s="1675"/>
      <c r="O54" s="1675"/>
      <c r="P54" s="1675"/>
      <c r="Q54" s="1675"/>
      <c r="R54" s="1675"/>
      <c r="S54" s="3055"/>
      <c r="T54" s="3055"/>
      <c r="U54" s="3055"/>
    </row>
    <row r="55" spans="1:21">
      <c r="A55" s="1675"/>
      <c r="B55" s="1675"/>
      <c r="C55" s="1675"/>
      <c r="D55" s="1675"/>
      <c r="E55" s="1675"/>
      <c r="F55" s="3135"/>
      <c r="G55" s="1675"/>
      <c r="H55" s="1675"/>
      <c r="I55" s="1675"/>
      <c r="J55" s="3150"/>
      <c r="K55" s="3149"/>
      <c r="L55" s="3149"/>
      <c r="M55" s="3149"/>
      <c r="N55" s="1675"/>
      <c r="O55" s="1675"/>
      <c r="P55" s="1675"/>
      <c r="Q55" s="1675"/>
      <c r="R55" s="1675"/>
      <c r="S55" s="3055"/>
      <c r="T55" s="3055"/>
      <c r="U55" s="3055"/>
    </row>
    <row r="56" spans="1:21">
      <c r="A56" s="1675"/>
      <c r="B56" s="1675"/>
      <c r="C56" s="1675"/>
      <c r="D56" s="1675"/>
      <c r="E56" s="1675"/>
      <c r="F56" s="3135"/>
      <c r="G56" s="1675"/>
      <c r="H56" s="1675"/>
      <c r="I56" s="1675"/>
      <c r="J56" s="3150"/>
      <c r="K56" s="3149"/>
      <c r="L56" s="3149"/>
      <c r="M56" s="3149"/>
      <c r="N56" s="1675"/>
      <c r="O56" s="1675"/>
      <c r="P56" s="1675"/>
      <c r="Q56" s="1675"/>
      <c r="R56" s="1675"/>
      <c r="S56" s="3055"/>
      <c r="T56" s="3055"/>
      <c r="U56" s="3055"/>
    </row>
    <row r="57" spans="1:21">
      <c r="A57" s="1675"/>
      <c r="B57" s="1675"/>
      <c r="C57" s="1675"/>
      <c r="D57" s="1675"/>
      <c r="E57" s="1675"/>
      <c r="F57" s="3135"/>
      <c r="G57" s="1675"/>
      <c r="H57" s="1675"/>
      <c r="I57" s="1675"/>
      <c r="J57" s="3150"/>
      <c r="K57" s="3149"/>
      <c r="L57" s="3149"/>
      <c r="M57" s="3149"/>
      <c r="N57" s="1675"/>
      <c r="O57" s="1675"/>
      <c r="P57" s="1675"/>
      <c r="Q57" s="1675"/>
      <c r="R57" s="1675"/>
      <c r="S57" s="3055"/>
      <c r="T57" s="3055"/>
      <c r="U57" s="3055"/>
    </row>
    <row r="58" spans="1:21">
      <c r="A58" s="1675"/>
      <c r="B58" s="1675"/>
      <c r="C58" s="1675"/>
      <c r="D58" s="1675"/>
      <c r="E58" s="1675"/>
      <c r="F58" s="3135"/>
      <c r="G58" s="1675"/>
      <c r="H58" s="1675"/>
      <c r="I58" s="1675"/>
      <c r="J58" s="3150"/>
      <c r="K58" s="3149"/>
      <c r="L58" s="3149"/>
      <c r="M58" s="3149"/>
      <c r="N58" s="1675"/>
      <c r="O58" s="1675"/>
      <c r="P58" s="1675"/>
      <c r="Q58" s="1675"/>
      <c r="R58" s="1675"/>
      <c r="S58" s="3055"/>
      <c r="T58" s="3055"/>
      <c r="U58" s="30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257" t="s">
        <v>2329</v>
      </c>
      <c r="BA2" s="2258"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110209</v>
      </c>
      <c r="B3" s="22">
        <f>IF(C3="否",G5-AT5,G5)</f>
        <v>154292.6</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2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154292.6</v>
      </c>
      <c r="H5" s="27">
        <f t="shared" ref="H5:AT5" si="0">SUM(H13:H641)</f>
        <v>154292.6</v>
      </c>
      <c r="I5" s="27">
        <f t="shared" si="0"/>
        <v>154292.6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154292.6</v>
      </c>
      <c r="BA5" s="29">
        <f t="shared" si="1"/>
        <v>154292.6</v>
      </c>
      <c r="BB5" s="29">
        <f t="shared" si="1"/>
        <v>154292.6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110209</v>
      </c>
      <c r="F6" s="27" t="s">
        <v>1</v>
      </c>
      <c r="G6" s="27" t="s">
        <v>2</v>
      </c>
      <c r="H6" s="33">
        <f>SUMIF(I$12:AB$12,"总值",I6:AB6)</f>
        <v>110209</v>
      </c>
      <c r="I6" s="27">
        <f t="shared" ref="I6:AB6" si="2">ROUND($A$3*I5/$B$3,2)</f>
        <v>110209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110209</v>
      </c>
      <c r="AZ6" s="27" t="s">
        <v>3</v>
      </c>
      <c r="BA6" s="27">
        <f>ROUND($AY$6*BA5/$AZ$5,2)</f>
        <v>110209</v>
      </c>
      <c r="BB6" s="27">
        <f>ROUND($AY$6*BB5/$AZ$5,2)</f>
        <v>110209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194"/>
      <c r="AT8" s="2225"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33" t="s">
        <v>2960</v>
      </c>
      <c r="J9" s="51"/>
      <c r="K9" s="2933" t="s">
        <v>2960</v>
      </c>
      <c r="L9" s="51"/>
      <c r="M9" s="2933" t="s">
        <v>3115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2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33" t="s">
        <v>921</v>
      </c>
      <c r="J10" s="51"/>
      <c r="K10" s="2935" t="s">
        <v>2974</v>
      </c>
      <c r="L10" s="51"/>
      <c r="M10" s="2935" t="s">
        <v>3116</v>
      </c>
      <c r="N10" s="51"/>
      <c r="O10" s="66"/>
      <c r="P10" s="51"/>
      <c r="Q10" s="66"/>
      <c r="R10" s="51"/>
      <c r="S10" s="66"/>
      <c r="T10" s="51"/>
      <c r="U10" s="66"/>
      <c r="V10" s="51"/>
      <c r="W10" s="66"/>
      <c r="X10" s="51"/>
      <c r="Y10" s="66"/>
      <c r="Z10" s="51"/>
      <c r="AA10" s="66"/>
      <c r="AB10" s="51"/>
      <c r="AC10" s="55"/>
      <c r="AD10" s="2211" t="s">
        <v>2315</v>
      </c>
      <c r="AE10" s="2233"/>
      <c r="AF10" s="2211" t="s">
        <v>2315</v>
      </c>
      <c r="AG10" s="2233"/>
      <c r="AH10" s="2211" t="s">
        <v>2316</v>
      </c>
      <c r="AI10" s="2233"/>
      <c r="AJ10" s="26" t="s">
        <v>2327</v>
      </c>
      <c r="AK10" s="2230"/>
      <c r="AL10" s="2211" t="s">
        <v>2317</v>
      </c>
      <c r="AM10" s="22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34" t="s">
        <v>3114</v>
      </c>
      <c r="J11" s="71"/>
      <c r="K11" s="2934" t="s">
        <v>3034</v>
      </c>
      <c r="L11" s="71"/>
      <c r="M11" s="2935" t="s">
        <v>3116</v>
      </c>
      <c r="N11" s="71"/>
      <c r="O11" s="70"/>
      <c r="P11" s="71"/>
      <c r="Q11" s="70"/>
      <c r="R11" s="71"/>
      <c r="S11" s="70"/>
      <c r="T11" s="71"/>
      <c r="U11" s="70"/>
      <c r="V11" s="71"/>
      <c r="W11" s="70"/>
      <c r="X11" s="71"/>
      <c r="Y11" s="70"/>
      <c r="Z11" s="71"/>
      <c r="AA11" s="70"/>
      <c r="AB11" s="71"/>
      <c r="AC11" s="55"/>
      <c r="AD11" s="2231" t="s">
        <v>2326</v>
      </c>
      <c r="AE11" s="1002"/>
      <c r="AF11" s="2231" t="s">
        <v>2326</v>
      </c>
      <c r="AG11" s="1002"/>
      <c r="AH11" s="2231" t="s">
        <v>2325</v>
      </c>
      <c r="AI11" s="2232"/>
      <c r="AJ11" s="2231" t="s">
        <v>2325</v>
      </c>
      <c r="AK11" s="22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28"/>
      <c r="B13" s="2928"/>
      <c r="C13" s="2928"/>
      <c r="D13" s="2929" t="s">
        <v>1677</v>
      </c>
      <c r="E13" s="27">
        <f t="shared" ref="E13:E20" si="6">IF($C$3="是",ROUND($A$3*G13/$B$3,2),ROUND($A$3*(G13-AT13)/$B$3,2))</f>
        <v>110209</v>
      </c>
      <c r="F13" s="81"/>
      <c r="G13" s="82">
        <f t="shared" ref="G13:G20" si="7">H13+AC13+AT13</f>
        <v>154292.6</v>
      </c>
      <c r="H13" s="33">
        <f t="shared" ref="H13:H20" si="8">SUMIF(I$12:AB$12,"总值",I13:AB13)</f>
        <v>154292.6</v>
      </c>
      <c r="I13" s="83">
        <v>154292.6</v>
      </c>
      <c r="J13" s="83">
        <v>0</v>
      </c>
      <c r="K13" s="83">
        <v>0</v>
      </c>
      <c r="L13" s="83">
        <v>0</v>
      </c>
      <c r="M13" s="83">
        <v>0</v>
      </c>
      <c r="N13" s="83">
        <v>0</v>
      </c>
      <c r="O13" s="83"/>
      <c r="P13" s="83"/>
      <c r="Q13" s="83"/>
      <c r="R13" s="83"/>
      <c r="S13" s="83"/>
      <c r="T13" s="83"/>
      <c r="U13" s="83"/>
      <c r="V13" s="83"/>
      <c r="W13" s="83"/>
      <c r="X13" s="83"/>
      <c r="Y13" s="83"/>
      <c r="Z13" s="83"/>
      <c r="AA13" s="83"/>
      <c r="AB13" s="83"/>
      <c r="AC13" s="27">
        <f t="shared" ref="AC13:AC20" si="9">SUMIF(AD$12:AS$12,"总值",AD13:AS13)</f>
        <v>0</v>
      </c>
      <c r="AD13" s="2936"/>
      <c r="AE13" s="2936"/>
      <c r="AF13" s="2936"/>
      <c r="AG13" s="2936"/>
      <c r="AH13" s="2936"/>
      <c r="AI13" s="2936"/>
      <c r="AJ13" s="2936"/>
      <c r="AK13" s="2936"/>
      <c r="AL13" s="2936"/>
      <c r="AM13" s="2936"/>
      <c r="AN13" s="83">
        <v>0</v>
      </c>
      <c r="AO13" s="83">
        <v>0</v>
      </c>
      <c r="AP13" s="2936"/>
      <c r="AQ13" s="2936"/>
      <c r="AR13" s="2936"/>
      <c r="AS13" s="2936"/>
      <c r="AT13" s="2937"/>
      <c r="AU13" s="2938"/>
      <c r="AV13" s="17">
        <f t="shared" ref="AV13:AX20" si="10">A13</f>
        <v>0</v>
      </c>
      <c r="AW13" s="17">
        <f t="shared" si="10"/>
        <v>0</v>
      </c>
      <c r="AX13" s="17">
        <f t="shared" si="10"/>
        <v>0</v>
      </c>
      <c r="AY13" s="996">
        <f t="shared" ref="AY13:AY20" si="11">ROUND($AY$6*AZ13/$AZ$5,2)</f>
        <v>110209</v>
      </c>
      <c r="AZ13" s="27">
        <f t="shared" ref="AZ13:AZ20" si="12">BA13+BL13</f>
        <v>154292.6</v>
      </c>
      <c r="BA13" s="27">
        <f t="shared" ref="BA13:BA20" si="13">SUM(BB13:BK13)</f>
        <v>154292.6</v>
      </c>
      <c r="BB13" s="27">
        <f t="shared" ref="BB13:BB20" si="14">IF($D13="是",I13-J13,0)</f>
        <v>154292.6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28"/>
      <c r="B14" s="2928"/>
      <c r="C14" s="2930"/>
      <c r="D14" s="2929"/>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2936"/>
      <c r="AE14" s="2936"/>
      <c r="AF14" s="2936"/>
      <c r="AG14" s="2936"/>
      <c r="AH14" s="2936"/>
      <c r="AI14" s="2936"/>
      <c r="AJ14" s="2936"/>
      <c r="AK14" s="2936"/>
      <c r="AL14" s="2936"/>
      <c r="AM14" s="2936"/>
      <c r="AN14" s="2936"/>
      <c r="AO14" s="2936"/>
      <c r="AP14" s="2936"/>
      <c r="AQ14" s="2936"/>
      <c r="AR14" s="2936"/>
      <c r="AS14" s="2936"/>
      <c r="AT14" s="2937"/>
      <c r="AU14" s="293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28"/>
      <c r="B15" s="2928"/>
      <c r="C15" s="2930"/>
      <c r="D15" s="2929"/>
      <c r="E15" s="27">
        <f t="shared" si="6"/>
        <v>0</v>
      </c>
      <c r="F15" s="81"/>
      <c r="G15" s="82">
        <f t="shared" si="7"/>
        <v>0</v>
      </c>
      <c r="H15" s="33">
        <f t="shared" si="8"/>
        <v>0</v>
      </c>
      <c r="I15" s="2932"/>
      <c r="J15" s="2932"/>
      <c r="K15" s="2932"/>
      <c r="L15" s="2932"/>
      <c r="M15" s="2932"/>
      <c r="N15" s="83"/>
      <c r="O15" s="83"/>
      <c r="P15" s="83"/>
      <c r="Q15" s="83"/>
      <c r="R15" s="83"/>
      <c r="S15" s="83"/>
      <c r="T15" s="83"/>
      <c r="U15" s="83"/>
      <c r="V15" s="83"/>
      <c r="W15" s="83"/>
      <c r="X15" s="83"/>
      <c r="Y15" s="83"/>
      <c r="Z15" s="83"/>
      <c r="AA15" s="83"/>
      <c r="AB15" s="83"/>
      <c r="AC15" s="27">
        <f t="shared" si="9"/>
        <v>0</v>
      </c>
      <c r="AD15" s="2936"/>
      <c r="AE15" s="2936"/>
      <c r="AF15" s="2936"/>
      <c r="AG15" s="2936"/>
      <c r="AH15" s="2936"/>
      <c r="AI15" s="2936"/>
      <c r="AJ15" s="2936"/>
      <c r="AK15" s="2936"/>
      <c r="AL15" s="2936"/>
      <c r="AM15" s="2936"/>
      <c r="AN15" s="2936"/>
      <c r="AO15" s="2936"/>
      <c r="AP15" s="2936"/>
      <c r="AQ15" s="2936"/>
      <c r="AR15" s="2936"/>
      <c r="AS15" s="2936"/>
      <c r="AT15" s="2937"/>
      <c r="AU15" s="293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28"/>
      <c r="B16" s="2928"/>
      <c r="C16" s="2930"/>
      <c r="D16" s="2929"/>
      <c r="E16" s="27">
        <f t="shared" si="6"/>
        <v>0</v>
      </c>
      <c r="F16" s="81"/>
      <c r="G16" s="82">
        <f t="shared" si="7"/>
        <v>0</v>
      </c>
      <c r="H16" s="33">
        <f t="shared" si="8"/>
        <v>0</v>
      </c>
      <c r="I16" s="2932"/>
      <c r="J16" s="2932"/>
      <c r="K16" s="2932"/>
      <c r="L16" s="2932"/>
      <c r="M16" s="2932"/>
      <c r="N16" s="83"/>
      <c r="O16" s="83"/>
      <c r="P16" s="83"/>
      <c r="Q16" s="83"/>
      <c r="R16" s="83"/>
      <c r="S16" s="83"/>
      <c r="T16" s="83"/>
      <c r="U16" s="83"/>
      <c r="V16" s="83"/>
      <c r="W16" s="83"/>
      <c r="X16" s="83"/>
      <c r="Y16" s="83"/>
      <c r="Z16" s="83"/>
      <c r="AA16" s="83"/>
      <c r="AB16" s="83"/>
      <c r="AC16" s="27">
        <f t="shared" si="9"/>
        <v>0</v>
      </c>
      <c r="AD16" s="2936"/>
      <c r="AE16" s="2936"/>
      <c r="AF16" s="2936"/>
      <c r="AG16" s="2936"/>
      <c r="AH16" s="2936"/>
      <c r="AI16" s="2936"/>
      <c r="AJ16" s="2936"/>
      <c r="AK16" s="2936"/>
      <c r="AL16" s="2936"/>
      <c r="AM16" s="2936"/>
      <c r="AN16" s="2936"/>
      <c r="AO16" s="2936"/>
      <c r="AP16" s="2936"/>
      <c r="AQ16" s="2936"/>
      <c r="AR16" s="2936"/>
      <c r="AS16" s="2936"/>
      <c r="AT16" s="2937"/>
      <c r="AU16" s="293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28"/>
      <c r="B17" s="2928"/>
      <c r="C17" s="2930"/>
      <c r="D17" s="2929"/>
      <c r="E17" s="27">
        <f t="shared" si="6"/>
        <v>0</v>
      </c>
      <c r="F17" s="81"/>
      <c r="G17" s="82">
        <f t="shared" si="7"/>
        <v>0</v>
      </c>
      <c r="H17" s="33">
        <f t="shared" si="8"/>
        <v>0</v>
      </c>
      <c r="I17" s="2932"/>
      <c r="J17" s="2932"/>
      <c r="K17" s="2932"/>
      <c r="L17" s="2932"/>
      <c r="M17" s="2932"/>
      <c r="N17" s="83"/>
      <c r="O17" s="83"/>
      <c r="P17" s="83"/>
      <c r="Q17" s="83"/>
      <c r="R17" s="83"/>
      <c r="S17" s="83"/>
      <c r="T17" s="83"/>
      <c r="U17" s="83"/>
      <c r="V17" s="83"/>
      <c r="W17" s="83"/>
      <c r="X17" s="83"/>
      <c r="Y17" s="83"/>
      <c r="Z17" s="83"/>
      <c r="AA17" s="83"/>
      <c r="AB17" s="83"/>
      <c r="AC17" s="27">
        <f t="shared" si="9"/>
        <v>0</v>
      </c>
      <c r="AD17" s="2936"/>
      <c r="AE17" s="2936"/>
      <c r="AF17" s="2936"/>
      <c r="AG17" s="2936"/>
      <c r="AH17" s="2936"/>
      <c r="AI17" s="2936"/>
      <c r="AJ17" s="2936"/>
      <c r="AK17" s="2936"/>
      <c r="AL17" s="2936"/>
      <c r="AM17" s="2936"/>
      <c r="AN17" s="2936"/>
      <c r="AO17" s="2936"/>
      <c r="AP17" s="2936"/>
      <c r="AQ17" s="2936"/>
      <c r="AR17" s="2936"/>
      <c r="AS17" s="2936"/>
      <c r="AT17" s="2937"/>
      <c r="AU17" s="293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3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876">
        <f t="shared" ref="AV21:AV112" si="37">A21</f>
        <v>0</v>
      </c>
      <c r="AW21" s="1876">
        <f t="shared" ref="AW21:AW112" si="38">B21</f>
        <v>0</v>
      </c>
      <c r="AX21" s="18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876">
        <f t="shared" si="37"/>
        <v>0</v>
      </c>
      <c r="AW22" s="1876">
        <f t="shared" si="38"/>
        <v>0</v>
      </c>
      <c r="AX22" s="18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876">
        <f t="shared" si="37"/>
        <v>0</v>
      </c>
      <c r="AW23" s="1876">
        <f t="shared" si="38"/>
        <v>0</v>
      </c>
      <c r="AX23" s="18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876">
        <f t="shared" si="37"/>
        <v>0</v>
      </c>
      <c r="AW24" s="1876">
        <f t="shared" si="38"/>
        <v>0</v>
      </c>
      <c r="AX24" s="18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876">
        <f t="shared" si="37"/>
        <v>0</v>
      </c>
      <c r="AW25" s="1876">
        <f t="shared" si="38"/>
        <v>0</v>
      </c>
      <c r="AX25" s="18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876">
        <f t="shared" si="37"/>
        <v>0</v>
      </c>
      <c r="AW26" s="1876">
        <f t="shared" si="38"/>
        <v>0</v>
      </c>
      <c r="AX26" s="18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876">
        <f t="shared" si="37"/>
        <v>0</v>
      </c>
      <c r="AW27" s="1876">
        <f t="shared" si="38"/>
        <v>0</v>
      </c>
      <c r="AX27" s="18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876">
        <f t="shared" si="37"/>
        <v>0</v>
      </c>
      <c r="AW28" s="1876">
        <f t="shared" si="38"/>
        <v>0</v>
      </c>
      <c r="AX28" s="18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876">
        <f t="shared" si="37"/>
        <v>0</v>
      </c>
      <c r="AW29" s="1876">
        <f t="shared" si="38"/>
        <v>0</v>
      </c>
      <c r="AX29" s="18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876">
        <f t="shared" si="37"/>
        <v>0</v>
      </c>
      <c r="AW30" s="1876">
        <f t="shared" si="38"/>
        <v>0</v>
      </c>
      <c r="AX30" s="18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876">
        <f t="shared" si="37"/>
        <v>0</v>
      </c>
      <c r="AW31" s="1876">
        <f t="shared" si="38"/>
        <v>0</v>
      </c>
      <c r="AX31" s="18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876">
        <f t="shared" si="37"/>
        <v>0</v>
      </c>
      <c r="AW32" s="1876">
        <f t="shared" si="38"/>
        <v>0</v>
      </c>
      <c r="AX32" s="18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876">
        <f t="shared" si="37"/>
        <v>0</v>
      </c>
      <c r="AW33" s="1876">
        <f t="shared" si="38"/>
        <v>0</v>
      </c>
      <c r="AX33" s="18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876">
        <f t="shared" si="37"/>
        <v>0</v>
      </c>
      <c r="AW34" s="1876">
        <f t="shared" si="38"/>
        <v>0</v>
      </c>
      <c r="AX34" s="18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876">
        <f t="shared" si="37"/>
        <v>0</v>
      </c>
      <c r="AW35" s="1876">
        <f t="shared" si="38"/>
        <v>0</v>
      </c>
      <c r="AX35" s="18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876">
        <f t="shared" si="37"/>
        <v>0</v>
      </c>
      <c r="AW36" s="1876">
        <f t="shared" si="38"/>
        <v>0</v>
      </c>
      <c r="AX36" s="18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876">
        <f t="shared" si="37"/>
        <v>0</v>
      </c>
      <c r="AW37" s="1876">
        <f t="shared" si="38"/>
        <v>0</v>
      </c>
      <c r="AX37" s="18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876">
        <f t="shared" si="37"/>
        <v>0</v>
      </c>
      <c r="AW38" s="1876">
        <f t="shared" si="38"/>
        <v>0</v>
      </c>
      <c r="AX38" s="18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876">
        <f t="shared" si="37"/>
        <v>0</v>
      </c>
      <c r="AW39" s="1876">
        <f t="shared" si="38"/>
        <v>0</v>
      </c>
      <c r="AX39" s="18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876">
        <f t="shared" si="37"/>
        <v>0</v>
      </c>
      <c r="AW40" s="1876">
        <f t="shared" si="38"/>
        <v>0</v>
      </c>
      <c r="AX40" s="18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876">
        <f t="shared" si="37"/>
        <v>0</v>
      </c>
      <c r="AW41" s="1876">
        <f t="shared" si="38"/>
        <v>0</v>
      </c>
      <c r="AX41" s="18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876">
        <f t="shared" si="37"/>
        <v>0</v>
      </c>
      <c r="AW42" s="1876">
        <f t="shared" si="38"/>
        <v>0</v>
      </c>
      <c r="AX42" s="18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876">
        <f t="shared" si="37"/>
        <v>0</v>
      </c>
      <c r="AW43" s="1876">
        <f t="shared" si="38"/>
        <v>0</v>
      </c>
      <c r="AX43" s="18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876">
        <f t="shared" si="37"/>
        <v>0</v>
      </c>
      <c r="AW44" s="1876">
        <f t="shared" si="38"/>
        <v>0</v>
      </c>
      <c r="AX44" s="18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876">
        <f t="shared" si="37"/>
        <v>0</v>
      </c>
      <c r="AW45" s="1876">
        <f t="shared" si="38"/>
        <v>0</v>
      </c>
      <c r="AX45" s="18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876">
        <f t="shared" si="37"/>
        <v>0</v>
      </c>
      <c r="AW46" s="1876">
        <f t="shared" si="38"/>
        <v>0</v>
      </c>
      <c r="AX46" s="18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876">
        <f t="shared" si="37"/>
        <v>0</v>
      </c>
      <c r="AW47" s="1876">
        <f t="shared" si="38"/>
        <v>0</v>
      </c>
      <c r="AX47" s="18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876">
        <f t="shared" si="37"/>
        <v>0</v>
      </c>
      <c r="AW48" s="1876">
        <f t="shared" si="38"/>
        <v>0</v>
      </c>
      <c r="AX48" s="18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876">
        <f t="shared" si="37"/>
        <v>0</v>
      </c>
      <c r="AW49" s="1876">
        <f t="shared" si="38"/>
        <v>0</v>
      </c>
      <c r="AX49" s="18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876">
        <f t="shared" si="37"/>
        <v>0</v>
      </c>
      <c r="AW50" s="1876">
        <f t="shared" si="38"/>
        <v>0</v>
      </c>
      <c r="AX50" s="18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876">
        <f t="shared" si="37"/>
        <v>0</v>
      </c>
      <c r="AW51" s="1876">
        <f t="shared" si="38"/>
        <v>0</v>
      </c>
      <c r="AX51" s="18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876">
        <f t="shared" si="37"/>
        <v>0</v>
      </c>
      <c r="AW52" s="1876">
        <f t="shared" si="38"/>
        <v>0</v>
      </c>
      <c r="AX52" s="18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876">
        <f t="shared" si="37"/>
        <v>0</v>
      </c>
      <c r="AW53" s="1876">
        <f t="shared" si="38"/>
        <v>0</v>
      </c>
      <c r="AX53" s="18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876">
        <f t="shared" si="37"/>
        <v>0</v>
      </c>
      <c r="AW54" s="1876">
        <f t="shared" si="38"/>
        <v>0</v>
      </c>
      <c r="AX54" s="18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876">
        <f t="shared" si="37"/>
        <v>0</v>
      </c>
      <c r="AW55" s="1876">
        <f t="shared" si="38"/>
        <v>0</v>
      </c>
      <c r="AX55" s="18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6">
        <f t="shared" si="37"/>
        <v>0</v>
      </c>
      <c r="AW56" s="1876">
        <f t="shared" si="38"/>
        <v>0</v>
      </c>
      <c r="AX56" s="18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6">
        <f t="shared" si="37"/>
        <v>0</v>
      </c>
      <c r="AW57" s="1876">
        <f t="shared" si="38"/>
        <v>0</v>
      </c>
      <c r="AX57" s="18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6">
        <f t="shared" si="37"/>
        <v>0</v>
      </c>
      <c r="AW58" s="1876">
        <f t="shared" si="38"/>
        <v>0</v>
      </c>
      <c r="AX58" s="18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6">
        <f t="shared" si="37"/>
        <v>0</v>
      </c>
      <c r="AW59" s="1876">
        <f t="shared" si="38"/>
        <v>0</v>
      </c>
      <c r="AX59" s="18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6">
        <f t="shared" si="37"/>
        <v>0</v>
      </c>
      <c r="AW60" s="1876">
        <f t="shared" si="38"/>
        <v>0</v>
      </c>
      <c r="AX60" s="18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6">
        <f t="shared" si="37"/>
        <v>0</v>
      </c>
      <c r="AW61" s="1876">
        <f t="shared" si="38"/>
        <v>0</v>
      </c>
      <c r="AX61" s="18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6">
        <f t="shared" si="37"/>
        <v>0</v>
      </c>
      <c r="AW62" s="1876">
        <f t="shared" si="38"/>
        <v>0</v>
      </c>
      <c r="AX62" s="18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6">
        <f t="shared" si="37"/>
        <v>0</v>
      </c>
      <c r="AW63" s="1876">
        <f t="shared" si="38"/>
        <v>0</v>
      </c>
      <c r="AX63" s="18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6">
        <f t="shared" si="37"/>
        <v>0</v>
      </c>
      <c r="AW64" s="1876">
        <f t="shared" si="38"/>
        <v>0</v>
      </c>
      <c r="AX64" s="18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6">
        <f t="shared" si="37"/>
        <v>0</v>
      </c>
      <c r="AW65" s="1876">
        <f t="shared" si="38"/>
        <v>0</v>
      </c>
      <c r="AX65" s="18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6">
        <f t="shared" si="37"/>
        <v>0</v>
      </c>
      <c r="AW66" s="1876">
        <f t="shared" si="38"/>
        <v>0</v>
      </c>
      <c r="AX66" s="18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6">
        <f t="shared" si="37"/>
        <v>0</v>
      </c>
      <c r="AW67" s="1876">
        <f t="shared" si="38"/>
        <v>0</v>
      </c>
      <c r="AX67" s="18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6">
        <f t="shared" si="37"/>
        <v>0</v>
      </c>
      <c r="AW68" s="1876">
        <f t="shared" si="38"/>
        <v>0</v>
      </c>
      <c r="AX68" s="18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6">
        <f t="shared" si="37"/>
        <v>0</v>
      </c>
      <c r="AW69" s="1876">
        <f t="shared" si="38"/>
        <v>0</v>
      </c>
      <c r="AX69" s="18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6">
        <f t="shared" si="37"/>
        <v>0</v>
      </c>
      <c r="AW70" s="1876">
        <f t="shared" si="38"/>
        <v>0</v>
      </c>
      <c r="AX70" s="18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6">
        <f t="shared" si="37"/>
        <v>0</v>
      </c>
      <c r="AW71" s="1876">
        <f t="shared" si="38"/>
        <v>0</v>
      </c>
      <c r="AX71" s="18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6">
        <f t="shared" si="37"/>
        <v>0</v>
      </c>
      <c r="AW72" s="1876">
        <f t="shared" si="38"/>
        <v>0</v>
      </c>
      <c r="AX72" s="18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6">
        <f t="shared" si="37"/>
        <v>0</v>
      </c>
      <c r="AW73" s="1876">
        <f t="shared" si="38"/>
        <v>0</v>
      </c>
      <c r="AX73" s="18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6">
        <f t="shared" si="37"/>
        <v>0</v>
      </c>
      <c r="AW74" s="1876">
        <f t="shared" si="38"/>
        <v>0</v>
      </c>
      <c r="AX74" s="18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6">
        <f t="shared" si="37"/>
        <v>0</v>
      </c>
      <c r="AW75" s="1876">
        <f t="shared" si="38"/>
        <v>0</v>
      </c>
      <c r="AX75" s="18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6">
        <f t="shared" si="37"/>
        <v>0</v>
      </c>
      <c r="AW76" s="1876">
        <f t="shared" si="38"/>
        <v>0</v>
      </c>
      <c r="AX76" s="18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6">
        <f t="shared" si="37"/>
        <v>0</v>
      </c>
      <c r="AW77" s="1876">
        <f t="shared" si="38"/>
        <v>0</v>
      </c>
      <c r="AX77" s="18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6">
        <f t="shared" si="37"/>
        <v>0</v>
      </c>
      <c r="AW78" s="1876">
        <f t="shared" si="38"/>
        <v>0</v>
      </c>
      <c r="AX78" s="18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6">
        <f t="shared" si="37"/>
        <v>0</v>
      </c>
      <c r="AW79" s="1876">
        <f t="shared" si="38"/>
        <v>0</v>
      </c>
      <c r="AX79" s="18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6">
        <f t="shared" si="37"/>
        <v>0</v>
      </c>
      <c r="AW80" s="1876">
        <f t="shared" si="38"/>
        <v>0</v>
      </c>
      <c r="AX80" s="18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6">
        <f t="shared" si="37"/>
        <v>0</v>
      </c>
      <c r="AW81" s="1876">
        <f t="shared" si="38"/>
        <v>0</v>
      </c>
      <c r="AX81" s="18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6">
        <f t="shared" si="37"/>
        <v>0</v>
      </c>
      <c r="AW82" s="1876">
        <f t="shared" si="38"/>
        <v>0</v>
      </c>
      <c r="AX82" s="18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6">
        <f t="shared" si="37"/>
        <v>0</v>
      </c>
      <c r="AW83" s="1876">
        <f t="shared" si="38"/>
        <v>0</v>
      </c>
      <c r="AX83" s="18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6">
        <f t="shared" si="37"/>
        <v>0</v>
      </c>
      <c r="AW84" s="1876">
        <f t="shared" si="38"/>
        <v>0</v>
      </c>
      <c r="AX84" s="18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6">
        <f t="shared" si="37"/>
        <v>0</v>
      </c>
      <c r="AW85" s="1876">
        <f t="shared" si="38"/>
        <v>0</v>
      </c>
      <c r="AX85" s="18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6">
        <f t="shared" si="37"/>
        <v>0</v>
      </c>
      <c r="AW86" s="1876">
        <f t="shared" si="38"/>
        <v>0</v>
      </c>
      <c r="AX86" s="18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6">
        <f t="shared" si="37"/>
        <v>0</v>
      </c>
      <c r="AW87" s="1876">
        <f t="shared" si="38"/>
        <v>0</v>
      </c>
      <c r="AX87" s="18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6">
        <f t="shared" si="37"/>
        <v>0</v>
      </c>
      <c r="AW88" s="1876">
        <f t="shared" si="38"/>
        <v>0</v>
      </c>
      <c r="AX88" s="18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6">
        <f t="shared" si="37"/>
        <v>0</v>
      </c>
      <c r="AW89" s="1876">
        <f t="shared" si="38"/>
        <v>0</v>
      </c>
      <c r="AX89" s="18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6">
        <f t="shared" si="37"/>
        <v>0</v>
      </c>
      <c r="AW90" s="1876">
        <f t="shared" si="38"/>
        <v>0</v>
      </c>
      <c r="AX90" s="18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6">
        <f t="shared" si="37"/>
        <v>0</v>
      </c>
      <c r="AW91" s="1876">
        <f t="shared" si="38"/>
        <v>0</v>
      </c>
      <c r="AX91" s="18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6">
        <f t="shared" si="37"/>
        <v>0</v>
      </c>
      <c r="AW92" s="1876">
        <f t="shared" si="38"/>
        <v>0</v>
      </c>
      <c r="AX92" s="18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6">
        <f t="shared" si="37"/>
        <v>0</v>
      </c>
      <c r="AW93" s="1876">
        <f t="shared" si="38"/>
        <v>0</v>
      </c>
      <c r="AX93" s="18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6">
        <f t="shared" si="37"/>
        <v>0</v>
      </c>
      <c r="AW94" s="1876">
        <f t="shared" si="38"/>
        <v>0</v>
      </c>
      <c r="AX94" s="18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6">
        <f t="shared" si="37"/>
        <v>0</v>
      </c>
      <c r="AW95" s="1876">
        <f t="shared" si="38"/>
        <v>0</v>
      </c>
      <c r="AX95" s="18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6">
        <f t="shared" si="37"/>
        <v>0</v>
      </c>
      <c r="AW96" s="1876">
        <f t="shared" si="38"/>
        <v>0</v>
      </c>
      <c r="AX96" s="18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6">
        <f t="shared" si="37"/>
        <v>0</v>
      </c>
      <c r="AW97" s="1876">
        <f t="shared" si="38"/>
        <v>0</v>
      </c>
      <c r="AX97" s="18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6">
        <f t="shared" si="37"/>
        <v>0</v>
      </c>
      <c r="AW98" s="1876">
        <f t="shared" si="38"/>
        <v>0</v>
      </c>
      <c r="AX98" s="18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6">
        <f t="shared" si="37"/>
        <v>0</v>
      </c>
      <c r="AW99" s="1876">
        <f t="shared" si="38"/>
        <v>0</v>
      </c>
      <c r="AX99" s="18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6">
        <f t="shared" si="37"/>
        <v>0</v>
      </c>
      <c r="AW100" s="1876">
        <f t="shared" si="38"/>
        <v>0</v>
      </c>
      <c r="AX100" s="18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6">
        <f t="shared" si="37"/>
        <v>0</v>
      </c>
      <c r="AW101" s="1876">
        <f t="shared" si="38"/>
        <v>0</v>
      </c>
      <c r="AX101" s="18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6">
        <f t="shared" si="37"/>
        <v>0</v>
      </c>
      <c r="AW102" s="1876">
        <f t="shared" si="38"/>
        <v>0</v>
      </c>
      <c r="AX102" s="18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6">
        <f t="shared" si="37"/>
        <v>0</v>
      </c>
      <c r="AW103" s="1876">
        <f t="shared" si="38"/>
        <v>0</v>
      </c>
      <c r="AX103" s="18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6">
        <f t="shared" si="37"/>
        <v>0</v>
      </c>
      <c r="AW104" s="1876">
        <f t="shared" si="38"/>
        <v>0</v>
      </c>
      <c r="AX104" s="18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6">
        <f t="shared" si="37"/>
        <v>0</v>
      </c>
      <c r="AW105" s="1876">
        <f t="shared" si="38"/>
        <v>0</v>
      </c>
      <c r="AX105" s="18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6">
        <f t="shared" si="37"/>
        <v>0</v>
      </c>
      <c r="AW106" s="1876">
        <f t="shared" si="38"/>
        <v>0</v>
      </c>
      <c r="AX106" s="18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6">
        <f t="shared" si="37"/>
        <v>0</v>
      </c>
      <c r="AW107" s="1876">
        <f t="shared" si="38"/>
        <v>0</v>
      </c>
      <c r="AX107" s="18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6">
        <f t="shared" si="37"/>
        <v>0</v>
      </c>
      <c r="AW108" s="1876">
        <f t="shared" si="38"/>
        <v>0</v>
      </c>
      <c r="AX108" s="18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6">
        <f t="shared" si="37"/>
        <v>0</v>
      </c>
      <c r="AW109" s="1876">
        <f t="shared" si="38"/>
        <v>0</v>
      </c>
      <c r="AX109" s="18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6">
        <f t="shared" si="37"/>
        <v>0</v>
      </c>
      <c r="AW110" s="1876">
        <f t="shared" si="38"/>
        <v>0</v>
      </c>
      <c r="AX110" s="18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6">
        <f t="shared" si="37"/>
        <v>0</v>
      </c>
      <c r="AW111" s="1876">
        <f t="shared" si="38"/>
        <v>0</v>
      </c>
      <c r="AX111" s="18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6">
        <f t="shared" si="37"/>
        <v>0</v>
      </c>
      <c r="AW112" s="1876">
        <f t="shared" si="38"/>
        <v>0</v>
      </c>
      <c r="AX112" s="18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876">
        <f t="shared" ref="AV113:AV144" si="88">A113</f>
        <v>0</v>
      </c>
      <c r="AW113" s="1876">
        <f t="shared" ref="AW113:AW144" si="89">B113</f>
        <v>0</v>
      </c>
      <c r="AX113" s="18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876">
        <f t="shared" si="88"/>
        <v>0</v>
      </c>
      <c r="AW114" s="1876">
        <f t="shared" si="89"/>
        <v>0</v>
      </c>
      <c r="AX114" s="18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876">
        <f t="shared" si="88"/>
        <v>0</v>
      </c>
      <c r="AW115" s="1876">
        <f t="shared" si="89"/>
        <v>0</v>
      </c>
      <c r="AX115" s="18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876">
        <f t="shared" si="88"/>
        <v>0</v>
      </c>
      <c r="AW116" s="1876">
        <f t="shared" si="89"/>
        <v>0</v>
      </c>
      <c r="AX116" s="18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876">
        <f t="shared" si="88"/>
        <v>0</v>
      </c>
      <c r="AW117" s="1876">
        <f t="shared" si="89"/>
        <v>0</v>
      </c>
      <c r="AX117" s="18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876">
        <f t="shared" si="88"/>
        <v>0</v>
      </c>
      <c r="AW118" s="1876">
        <f t="shared" si="89"/>
        <v>0</v>
      </c>
      <c r="AX118" s="18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876">
        <f t="shared" si="88"/>
        <v>0</v>
      </c>
      <c r="AW119" s="1876">
        <f t="shared" si="89"/>
        <v>0</v>
      </c>
      <c r="AX119" s="18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876">
        <f t="shared" si="88"/>
        <v>0</v>
      </c>
      <c r="AW120" s="1876">
        <f t="shared" si="89"/>
        <v>0</v>
      </c>
      <c r="AX120" s="18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876">
        <f t="shared" si="88"/>
        <v>0</v>
      </c>
      <c r="AW121" s="1876">
        <f t="shared" si="89"/>
        <v>0</v>
      </c>
      <c r="AX121" s="18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876">
        <f t="shared" si="88"/>
        <v>0</v>
      </c>
      <c r="AW122" s="1876">
        <f t="shared" si="89"/>
        <v>0</v>
      </c>
      <c r="AX122" s="18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876">
        <f t="shared" si="88"/>
        <v>0</v>
      </c>
      <c r="AW123" s="1876">
        <f t="shared" si="89"/>
        <v>0</v>
      </c>
      <c r="AX123" s="18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876">
        <f t="shared" si="88"/>
        <v>0</v>
      </c>
      <c r="AW124" s="1876">
        <f t="shared" si="89"/>
        <v>0</v>
      </c>
      <c r="AX124" s="18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876">
        <f t="shared" si="88"/>
        <v>0</v>
      </c>
      <c r="AW125" s="1876">
        <f t="shared" si="89"/>
        <v>0</v>
      </c>
      <c r="AX125" s="18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876">
        <f t="shared" si="88"/>
        <v>0</v>
      </c>
      <c r="AW126" s="1876">
        <f t="shared" si="89"/>
        <v>0</v>
      </c>
      <c r="AX126" s="18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876">
        <f t="shared" si="88"/>
        <v>0</v>
      </c>
      <c r="AW127" s="1876">
        <f t="shared" si="89"/>
        <v>0</v>
      </c>
      <c r="AX127" s="18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876">
        <f t="shared" si="88"/>
        <v>0</v>
      </c>
      <c r="AW128" s="1876">
        <f t="shared" si="89"/>
        <v>0</v>
      </c>
      <c r="AX128" s="18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876">
        <f t="shared" si="88"/>
        <v>0</v>
      </c>
      <c r="AW129" s="1876">
        <f t="shared" si="89"/>
        <v>0</v>
      </c>
      <c r="AX129" s="18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876">
        <f t="shared" si="88"/>
        <v>0</v>
      </c>
      <c r="AW130" s="1876">
        <f t="shared" si="89"/>
        <v>0</v>
      </c>
      <c r="AX130" s="18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876">
        <f t="shared" si="88"/>
        <v>0</v>
      </c>
      <c r="AW131" s="1876">
        <f t="shared" si="89"/>
        <v>0</v>
      </c>
      <c r="AX131" s="18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876">
        <f t="shared" si="88"/>
        <v>0</v>
      </c>
      <c r="AW132" s="1876">
        <f t="shared" si="89"/>
        <v>0</v>
      </c>
      <c r="AX132" s="18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876">
        <f t="shared" si="88"/>
        <v>0</v>
      </c>
      <c r="AW133" s="1876">
        <f t="shared" si="89"/>
        <v>0</v>
      </c>
      <c r="AX133" s="18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876">
        <f t="shared" si="88"/>
        <v>0</v>
      </c>
      <c r="AW134" s="1876">
        <f t="shared" si="89"/>
        <v>0</v>
      </c>
      <c r="AX134" s="18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876">
        <f t="shared" si="88"/>
        <v>0</v>
      </c>
      <c r="AW135" s="1876">
        <f t="shared" si="89"/>
        <v>0</v>
      </c>
      <c r="AX135" s="18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876">
        <f t="shared" si="88"/>
        <v>0</v>
      </c>
      <c r="AW136" s="1876">
        <f t="shared" si="89"/>
        <v>0</v>
      </c>
      <c r="AX136" s="18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876">
        <f t="shared" si="88"/>
        <v>0</v>
      </c>
      <c r="AW137" s="1876">
        <f t="shared" si="89"/>
        <v>0</v>
      </c>
      <c r="AX137" s="18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876">
        <f t="shared" si="88"/>
        <v>0</v>
      </c>
      <c r="AW138" s="1876">
        <f t="shared" si="89"/>
        <v>0</v>
      </c>
      <c r="AX138" s="18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876">
        <f t="shared" si="88"/>
        <v>0</v>
      </c>
      <c r="AW139" s="1876">
        <f t="shared" si="89"/>
        <v>0</v>
      </c>
      <c r="AX139" s="18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876">
        <f t="shared" si="88"/>
        <v>0</v>
      </c>
      <c r="AW140" s="1876">
        <f t="shared" si="89"/>
        <v>0</v>
      </c>
      <c r="AX140" s="18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876">
        <f t="shared" si="88"/>
        <v>0</v>
      </c>
      <c r="AW141" s="1876">
        <f t="shared" si="89"/>
        <v>0</v>
      </c>
      <c r="AX141" s="18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876">
        <f t="shared" si="88"/>
        <v>0</v>
      </c>
      <c r="AW142" s="1876">
        <f t="shared" si="89"/>
        <v>0</v>
      </c>
      <c r="AX142" s="18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876">
        <f t="shared" si="88"/>
        <v>0</v>
      </c>
      <c r="AW143" s="1876">
        <f t="shared" si="89"/>
        <v>0</v>
      </c>
      <c r="AX143" s="18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876">
        <f t="shared" si="88"/>
        <v>0</v>
      </c>
      <c r="AW144" s="1876">
        <f t="shared" si="89"/>
        <v>0</v>
      </c>
      <c r="AX144" s="18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876">
        <f t="shared" ref="AV145:AV176" si="117">A145</f>
        <v>0</v>
      </c>
      <c r="AW145" s="1876">
        <f t="shared" ref="AW145:AW176" si="118">B145</f>
        <v>0</v>
      </c>
      <c r="AX145" s="18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876">
        <f t="shared" si="117"/>
        <v>0</v>
      </c>
      <c r="AW146" s="1876">
        <f t="shared" si="118"/>
        <v>0</v>
      </c>
      <c r="AX146" s="18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876">
        <f t="shared" si="117"/>
        <v>0</v>
      </c>
      <c r="AW147" s="1876">
        <f t="shared" si="118"/>
        <v>0</v>
      </c>
      <c r="AX147" s="18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6">
        <f t="shared" si="117"/>
        <v>0</v>
      </c>
      <c r="AW148" s="1876">
        <f t="shared" si="118"/>
        <v>0</v>
      </c>
      <c r="AX148" s="18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6">
        <f t="shared" si="117"/>
        <v>0</v>
      </c>
      <c r="AW149" s="1876">
        <f t="shared" si="118"/>
        <v>0</v>
      </c>
      <c r="AX149" s="18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6">
        <f t="shared" si="117"/>
        <v>0</v>
      </c>
      <c r="AW150" s="1876">
        <f t="shared" si="118"/>
        <v>0</v>
      </c>
      <c r="AX150" s="18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6">
        <f t="shared" si="117"/>
        <v>0</v>
      </c>
      <c r="AW151" s="1876">
        <f t="shared" si="118"/>
        <v>0</v>
      </c>
      <c r="AX151" s="18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6">
        <f t="shared" si="117"/>
        <v>0</v>
      </c>
      <c r="AW152" s="1876">
        <f t="shared" si="118"/>
        <v>0</v>
      </c>
      <c r="AX152" s="18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6">
        <f t="shared" si="117"/>
        <v>0</v>
      </c>
      <c r="AW153" s="1876">
        <f t="shared" si="118"/>
        <v>0</v>
      </c>
      <c r="AX153" s="18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6">
        <f t="shared" si="117"/>
        <v>0</v>
      </c>
      <c r="AW154" s="1876">
        <f t="shared" si="118"/>
        <v>0</v>
      </c>
      <c r="AX154" s="18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6">
        <f t="shared" si="117"/>
        <v>0</v>
      </c>
      <c r="AW155" s="1876">
        <f t="shared" si="118"/>
        <v>0</v>
      </c>
      <c r="AX155" s="18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6">
        <f t="shared" si="117"/>
        <v>0</v>
      </c>
      <c r="AW156" s="1876">
        <f t="shared" si="118"/>
        <v>0</v>
      </c>
      <c r="AX156" s="18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6">
        <f t="shared" si="117"/>
        <v>0</v>
      </c>
      <c r="AW157" s="1876">
        <f t="shared" si="118"/>
        <v>0</v>
      </c>
      <c r="AX157" s="18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6">
        <f t="shared" si="117"/>
        <v>0</v>
      </c>
      <c r="AW158" s="1876">
        <f t="shared" si="118"/>
        <v>0</v>
      </c>
      <c r="AX158" s="18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6">
        <f t="shared" si="117"/>
        <v>0</v>
      </c>
      <c r="AW159" s="1876">
        <f t="shared" si="118"/>
        <v>0</v>
      </c>
      <c r="AX159" s="18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6">
        <f t="shared" si="117"/>
        <v>0</v>
      </c>
      <c r="AW160" s="1876">
        <f t="shared" si="118"/>
        <v>0</v>
      </c>
      <c r="AX160" s="18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6">
        <f t="shared" si="117"/>
        <v>0</v>
      </c>
      <c r="AW161" s="1876">
        <f t="shared" si="118"/>
        <v>0</v>
      </c>
      <c r="AX161" s="18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6">
        <f t="shared" si="117"/>
        <v>0</v>
      </c>
      <c r="AW162" s="1876">
        <f t="shared" si="118"/>
        <v>0</v>
      </c>
      <c r="AX162" s="18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6">
        <f t="shared" si="117"/>
        <v>0</v>
      </c>
      <c r="AW163" s="1876">
        <f t="shared" si="118"/>
        <v>0</v>
      </c>
      <c r="AX163" s="18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6">
        <f t="shared" si="117"/>
        <v>0</v>
      </c>
      <c r="AW164" s="1876">
        <f t="shared" si="118"/>
        <v>0</v>
      </c>
      <c r="AX164" s="18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6">
        <f t="shared" si="117"/>
        <v>0</v>
      </c>
      <c r="AW165" s="1876">
        <f t="shared" si="118"/>
        <v>0</v>
      </c>
      <c r="AX165" s="18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6">
        <f t="shared" si="117"/>
        <v>0</v>
      </c>
      <c r="AW166" s="1876">
        <f t="shared" si="118"/>
        <v>0</v>
      </c>
      <c r="AX166" s="18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6">
        <f t="shared" si="117"/>
        <v>0</v>
      </c>
      <c r="AW167" s="1876">
        <f t="shared" si="118"/>
        <v>0</v>
      </c>
      <c r="AX167" s="18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6">
        <f t="shared" si="117"/>
        <v>0</v>
      </c>
      <c r="AW168" s="1876">
        <f t="shared" si="118"/>
        <v>0</v>
      </c>
      <c r="AX168" s="18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6">
        <f t="shared" si="117"/>
        <v>0</v>
      </c>
      <c r="AW169" s="1876">
        <f t="shared" si="118"/>
        <v>0</v>
      </c>
      <c r="AX169" s="18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6">
        <f t="shared" si="117"/>
        <v>0</v>
      </c>
      <c r="AW170" s="1876">
        <f t="shared" si="118"/>
        <v>0</v>
      </c>
      <c r="AX170" s="18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6">
        <f t="shared" si="117"/>
        <v>0</v>
      </c>
      <c r="AW171" s="1876">
        <f t="shared" si="118"/>
        <v>0</v>
      </c>
      <c r="AX171" s="18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6">
        <f t="shared" si="117"/>
        <v>0</v>
      </c>
      <c r="AW172" s="1876">
        <f t="shared" si="118"/>
        <v>0</v>
      </c>
      <c r="AX172" s="18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6">
        <f t="shared" si="117"/>
        <v>0</v>
      </c>
      <c r="AW173" s="1876">
        <f t="shared" si="118"/>
        <v>0</v>
      </c>
      <c r="AX173" s="18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6">
        <f t="shared" si="117"/>
        <v>0</v>
      </c>
      <c r="AW174" s="1876">
        <f t="shared" si="118"/>
        <v>0</v>
      </c>
      <c r="AX174" s="18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6">
        <f t="shared" si="117"/>
        <v>0</v>
      </c>
      <c r="AW175" s="1876">
        <f t="shared" si="118"/>
        <v>0</v>
      </c>
      <c r="AX175" s="18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6">
        <f t="shared" si="117"/>
        <v>0</v>
      </c>
      <c r="AW176" s="1876">
        <f t="shared" si="118"/>
        <v>0</v>
      </c>
      <c r="AX176" s="18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6">
        <f t="shared" ref="AV177:AV204" si="146">A177</f>
        <v>0</v>
      </c>
      <c r="AW177" s="1876">
        <f t="shared" ref="AW177:AW204" si="147">B177</f>
        <v>0</v>
      </c>
      <c r="AX177" s="18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6">
        <f t="shared" si="146"/>
        <v>0</v>
      </c>
      <c r="AW178" s="1876">
        <f t="shared" si="147"/>
        <v>0</v>
      </c>
      <c r="AX178" s="18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6">
        <f t="shared" si="146"/>
        <v>0</v>
      </c>
      <c r="AW179" s="1876">
        <f t="shared" si="147"/>
        <v>0</v>
      </c>
      <c r="AX179" s="18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6">
        <f t="shared" si="146"/>
        <v>0</v>
      </c>
      <c r="AW180" s="1876">
        <f t="shared" si="147"/>
        <v>0</v>
      </c>
      <c r="AX180" s="18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6">
        <f t="shared" si="146"/>
        <v>0</v>
      </c>
      <c r="AW181" s="1876">
        <f t="shared" si="147"/>
        <v>0</v>
      </c>
      <c r="AX181" s="18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6">
        <f t="shared" si="146"/>
        <v>0</v>
      </c>
      <c r="AW182" s="1876">
        <f t="shared" si="147"/>
        <v>0</v>
      </c>
      <c r="AX182" s="18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6">
        <f t="shared" si="146"/>
        <v>0</v>
      </c>
      <c r="AW183" s="1876">
        <f t="shared" si="147"/>
        <v>0</v>
      </c>
      <c r="AX183" s="18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6">
        <f t="shared" si="146"/>
        <v>0</v>
      </c>
      <c r="AW184" s="1876">
        <f t="shared" si="147"/>
        <v>0</v>
      </c>
      <c r="AX184" s="18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6">
        <f t="shared" si="146"/>
        <v>0</v>
      </c>
      <c r="AW185" s="1876">
        <f t="shared" si="147"/>
        <v>0</v>
      </c>
      <c r="AX185" s="18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6">
        <f t="shared" si="146"/>
        <v>0</v>
      </c>
      <c r="AW186" s="1876">
        <f t="shared" si="147"/>
        <v>0</v>
      </c>
      <c r="AX186" s="18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6">
        <f t="shared" si="146"/>
        <v>0</v>
      </c>
      <c r="AW187" s="1876">
        <f t="shared" si="147"/>
        <v>0</v>
      </c>
      <c r="AX187" s="18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6">
        <f t="shared" si="146"/>
        <v>0</v>
      </c>
      <c r="AW188" s="1876">
        <f t="shared" si="147"/>
        <v>0</v>
      </c>
      <c r="AX188" s="18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6">
        <f t="shared" si="146"/>
        <v>0</v>
      </c>
      <c r="AW189" s="1876">
        <f t="shared" si="147"/>
        <v>0</v>
      </c>
      <c r="AX189" s="18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6">
        <f t="shared" si="146"/>
        <v>0</v>
      </c>
      <c r="AW190" s="1876">
        <f t="shared" si="147"/>
        <v>0</v>
      </c>
      <c r="AX190" s="18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6">
        <f t="shared" si="146"/>
        <v>0</v>
      </c>
      <c r="AW191" s="1876">
        <f t="shared" si="147"/>
        <v>0</v>
      </c>
      <c r="AX191" s="18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6">
        <f t="shared" si="146"/>
        <v>0</v>
      </c>
      <c r="AW192" s="1876">
        <f t="shared" si="147"/>
        <v>0</v>
      </c>
      <c r="AX192" s="18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6">
        <f t="shared" si="146"/>
        <v>0</v>
      </c>
      <c r="AW193" s="1876">
        <f t="shared" si="147"/>
        <v>0</v>
      </c>
      <c r="AX193" s="18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6">
        <f t="shared" si="146"/>
        <v>0</v>
      </c>
      <c r="AW194" s="1876">
        <f t="shared" si="147"/>
        <v>0</v>
      </c>
      <c r="AX194" s="18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6">
        <f t="shared" si="146"/>
        <v>0</v>
      </c>
      <c r="AW195" s="1876">
        <f t="shared" si="147"/>
        <v>0</v>
      </c>
      <c r="AX195" s="18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6">
        <f t="shared" si="146"/>
        <v>0</v>
      </c>
      <c r="AW196" s="1876">
        <f t="shared" si="147"/>
        <v>0</v>
      </c>
      <c r="AX196" s="18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6">
        <f t="shared" si="146"/>
        <v>0</v>
      </c>
      <c r="AW197" s="1876">
        <f t="shared" si="147"/>
        <v>0</v>
      </c>
      <c r="AX197" s="18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6">
        <f t="shared" si="146"/>
        <v>0</v>
      </c>
      <c r="AW198" s="1876">
        <f t="shared" si="147"/>
        <v>0</v>
      </c>
      <c r="AX198" s="18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6">
        <f t="shared" si="146"/>
        <v>0</v>
      </c>
      <c r="AW199" s="1876">
        <f t="shared" si="147"/>
        <v>0</v>
      </c>
      <c r="AX199" s="18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6">
        <f t="shared" si="146"/>
        <v>0</v>
      </c>
      <c r="AW200" s="1876">
        <f t="shared" si="147"/>
        <v>0</v>
      </c>
      <c r="AX200" s="18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6">
        <f t="shared" si="146"/>
        <v>0</v>
      </c>
      <c r="AW201" s="1876">
        <f t="shared" si="147"/>
        <v>0</v>
      </c>
      <c r="AX201" s="18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6">
        <f t="shared" si="146"/>
        <v>0</v>
      </c>
      <c r="AW202" s="1876">
        <f t="shared" si="147"/>
        <v>0</v>
      </c>
      <c r="AX202" s="18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6">
        <f t="shared" si="146"/>
        <v>0</v>
      </c>
      <c r="AW203" s="1876">
        <f t="shared" si="147"/>
        <v>0</v>
      </c>
      <c r="AX203" s="18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6">
        <f t="shared" si="146"/>
        <v>0</v>
      </c>
      <c r="AW204" s="1876">
        <f t="shared" si="147"/>
        <v>0</v>
      </c>
      <c r="AX204" s="18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876">
        <f t="shared" ref="AV205:AV296" si="153">A205</f>
        <v>0</v>
      </c>
      <c r="AW205" s="1876">
        <f t="shared" ref="AW205:AW296" si="154">B205</f>
        <v>0</v>
      </c>
      <c r="AX205" s="18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876">
        <f t="shared" si="153"/>
        <v>0</v>
      </c>
      <c r="AW206" s="1876">
        <f t="shared" si="154"/>
        <v>0</v>
      </c>
      <c r="AX206" s="18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876">
        <f t="shared" si="153"/>
        <v>0</v>
      </c>
      <c r="AW207" s="1876">
        <f t="shared" si="154"/>
        <v>0</v>
      </c>
      <c r="AX207" s="18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876">
        <f t="shared" si="153"/>
        <v>0</v>
      </c>
      <c r="AW208" s="1876">
        <f t="shared" si="154"/>
        <v>0</v>
      </c>
      <c r="AX208" s="18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876">
        <f t="shared" si="153"/>
        <v>0</v>
      </c>
      <c r="AW209" s="1876">
        <f t="shared" si="154"/>
        <v>0</v>
      </c>
      <c r="AX209" s="18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876">
        <f t="shared" si="153"/>
        <v>0</v>
      </c>
      <c r="AW210" s="1876">
        <f t="shared" si="154"/>
        <v>0</v>
      </c>
      <c r="AX210" s="18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876">
        <f t="shared" si="153"/>
        <v>0</v>
      </c>
      <c r="AW211" s="1876">
        <f t="shared" si="154"/>
        <v>0</v>
      </c>
      <c r="AX211" s="18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876">
        <f t="shared" si="153"/>
        <v>0</v>
      </c>
      <c r="AW212" s="1876">
        <f t="shared" si="154"/>
        <v>0</v>
      </c>
      <c r="AX212" s="18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876">
        <f t="shared" si="153"/>
        <v>0</v>
      </c>
      <c r="AW213" s="1876">
        <f t="shared" si="154"/>
        <v>0</v>
      </c>
      <c r="AX213" s="18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876">
        <f t="shared" si="153"/>
        <v>0</v>
      </c>
      <c r="AW214" s="1876">
        <f t="shared" si="154"/>
        <v>0</v>
      </c>
      <c r="AX214" s="18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876">
        <f t="shared" si="153"/>
        <v>0</v>
      </c>
      <c r="AW215" s="1876">
        <f t="shared" si="154"/>
        <v>0</v>
      </c>
      <c r="AX215" s="18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876">
        <f t="shared" si="153"/>
        <v>0</v>
      </c>
      <c r="AW216" s="1876">
        <f t="shared" si="154"/>
        <v>0</v>
      </c>
      <c r="AX216" s="18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876">
        <f t="shared" si="153"/>
        <v>0</v>
      </c>
      <c r="AW217" s="1876">
        <f t="shared" si="154"/>
        <v>0</v>
      </c>
      <c r="AX217" s="18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876">
        <f t="shared" si="153"/>
        <v>0</v>
      </c>
      <c r="AW218" s="1876">
        <f t="shared" si="154"/>
        <v>0</v>
      </c>
      <c r="AX218" s="18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876">
        <f t="shared" si="153"/>
        <v>0</v>
      </c>
      <c r="AW219" s="1876">
        <f t="shared" si="154"/>
        <v>0</v>
      </c>
      <c r="AX219" s="18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876">
        <f t="shared" si="153"/>
        <v>0</v>
      </c>
      <c r="AW220" s="1876">
        <f t="shared" si="154"/>
        <v>0</v>
      </c>
      <c r="AX220" s="18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876">
        <f t="shared" si="153"/>
        <v>0</v>
      </c>
      <c r="AW221" s="1876">
        <f t="shared" si="154"/>
        <v>0</v>
      </c>
      <c r="AX221" s="18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876">
        <f t="shared" si="153"/>
        <v>0</v>
      </c>
      <c r="AW222" s="1876">
        <f t="shared" si="154"/>
        <v>0</v>
      </c>
      <c r="AX222" s="18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876">
        <f t="shared" si="153"/>
        <v>0</v>
      </c>
      <c r="AW223" s="1876">
        <f t="shared" si="154"/>
        <v>0</v>
      </c>
      <c r="AX223" s="18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876">
        <f t="shared" si="153"/>
        <v>0</v>
      </c>
      <c r="AW224" s="1876">
        <f t="shared" si="154"/>
        <v>0</v>
      </c>
      <c r="AX224" s="18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876">
        <f t="shared" si="153"/>
        <v>0</v>
      </c>
      <c r="AW225" s="1876">
        <f t="shared" si="154"/>
        <v>0</v>
      </c>
      <c r="AX225" s="18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876">
        <f t="shared" si="153"/>
        <v>0</v>
      </c>
      <c r="AW226" s="1876">
        <f t="shared" si="154"/>
        <v>0</v>
      </c>
      <c r="AX226" s="18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876">
        <f t="shared" si="153"/>
        <v>0</v>
      </c>
      <c r="AW227" s="1876">
        <f t="shared" si="154"/>
        <v>0</v>
      </c>
      <c r="AX227" s="18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876">
        <f t="shared" si="153"/>
        <v>0</v>
      </c>
      <c r="AW228" s="1876">
        <f t="shared" si="154"/>
        <v>0</v>
      </c>
      <c r="AX228" s="18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876">
        <f t="shared" si="153"/>
        <v>0</v>
      </c>
      <c r="AW229" s="1876">
        <f t="shared" si="154"/>
        <v>0</v>
      </c>
      <c r="AX229" s="18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876">
        <f t="shared" si="153"/>
        <v>0</v>
      </c>
      <c r="AW230" s="1876">
        <f t="shared" si="154"/>
        <v>0</v>
      </c>
      <c r="AX230" s="18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876">
        <f t="shared" si="153"/>
        <v>0</v>
      </c>
      <c r="AW231" s="1876">
        <f t="shared" si="154"/>
        <v>0</v>
      </c>
      <c r="AX231" s="18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876">
        <f t="shared" si="153"/>
        <v>0</v>
      </c>
      <c r="AW232" s="1876">
        <f t="shared" si="154"/>
        <v>0</v>
      </c>
      <c r="AX232" s="18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876">
        <f t="shared" si="153"/>
        <v>0</v>
      </c>
      <c r="AW233" s="1876">
        <f t="shared" si="154"/>
        <v>0</v>
      </c>
      <c r="AX233" s="18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876">
        <f t="shared" si="153"/>
        <v>0</v>
      </c>
      <c r="AW234" s="1876">
        <f t="shared" si="154"/>
        <v>0</v>
      </c>
      <c r="AX234" s="18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876">
        <f t="shared" si="153"/>
        <v>0</v>
      </c>
      <c r="AW235" s="1876">
        <f t="shared" si="154"/>
        <v>0</v>
      </c>
      <c r="AX235" s="18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876">
        <f t="shared" si="153"/>
        <v>0</v>
      </c>
      <c r="AW236" s="1876">
        <f t="shared" si="154"/>
        <v>0</v>
      </c>
      <c r="AX236" s="18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876">
        <f t="shared" si="153"/>
        <v>0</v>
      </c>
      <c r="AW237" s="1876">
        <f t="shared" si="154"/>
        <v>0</v>
      </c>
      <c r="AX237" s="18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876">
        <f t="shared" si="153"/>
        <v>0</v>
      </c>
      <c r="AW238" s="1876">
        <f t="shared" si="154"/>
        <v>0</v>
      </c>
      <c r="AX238" s="18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876">
        <f t="shared" si="153"/>
        <v>0</v>
      </c>
      <c r="AW239" s="1876">
        <f t="shared" si="154"/>
        <v>0</v>
      </c>
      <c r="AX239" s="18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6">
        <f t="shared" si="153"/>
        <v>0</v>
      </c>
      <c r="AW240" s="1876">
        <f t="shared" si="154"/>
        <v>0</v>
      </c>
      <c r="AX240" s="18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6">
        <f t="shared" si="153"/>
        <v>0</v>
      </c>
      <c r="AW241" s="1876">
        <f t="shared" si="154"/>
        <v>0</v>
      </c>
      <c r="AX241" s="18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6">
        <f t="shared" si="153"/>
        <v>0</v>
      </c>
      <c r="AW242" s="1876">
        <f t="shared" si="154"/>
        <v>0</v>
      </c>
      <c r="AX242" s="18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6">
        <f t="shared" si="153"/>
        <v>0</v>
      </c>
      <c r="AW243" s="1876">
        <f t="shared" si="154"/>
        <v>0</v>
      </c>
      <c r="AX243" s="18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6">
        <f t="shared" si="153"/>
        <v>0</v>
      </c>
      <c r="AW244" s="1876">
        <f t="shared" si="154"/>
        <v>0</v>
      </c>
      <c r="AX244" s="18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6">
        <f t="shared" si="153"/>
        <v>0</v>
      </c>
      <c r="AW245" s="1876">
        <f t="shared" si="154"/>
        <v>0</v>
      </c>
      <c r="AX245" s="18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6">
        <f t="shared" si="153"/>
        <v>0</v>
      </c>
      <c r="AW246" s="1876">
        <f t="shared" si="154"/>
        <v>0</v>
      </c>
      <c r="AX246" s="18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6">
        <f t="shared" si="153"/>
        <v>0</v>
      </c>
      <c r="AW247" s="1876">
        <f t="shared" si="154"/>
        <v>0</v>
      </c>
      <c r="AX247" s="18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6">
        <f t="shared" si="153"/>
        <v>0</v>
      </c>
      <c r="AW248" s="1876">
        <f t="shared" si="154"/>
        <v>0</v>
      </c>
      <c r="AX248" s="18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6">
        <f t="shared" si="153"/>
        <v>0</v>
      </c>
      <c r="AW249" s="1876">
        <f t="shared" si="154"/>
        <v>0</v>
      </c>
      <c r="AX249" s="18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6">
        <f t="shared" si="153"/>
        <v>0</v>
      </c>
      <c r="AW250" s="1876">
        <f t="shared" si="154"/>
        <v>0</v>
      </c>
      <c r="AX250" s="18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6">
        <f t="shared" si="153"/>
        <v>0</v>
      </c>
      <c r="AW251" s="1876">
        <f t="shared" si="154"/>
        <v>0</v>
      </c>
      <c r="AX251" s="18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6">
        <f t="shared" si="153"/>
        <v>0</v>
      </c>
      <c r="AW252" s="1876">
        <f t="shared" si="154"/>
        <v>0</v>
      </c>
      <c r="AX252" s="18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6">
        <f t="shared" si="153"/>
        <v>0</v>
      </c>
      <c r="AW253" s="1876">
        <f t="shared" si="154"/>
        <v>0</v>
      </c>
      <c r="AX253" s="18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6">
        <f t="shared" si="153"/>
        <v>0</v>
      </c>
      <c r="AW254" s="1876">
        <f t="shared" si="154"/>
        <v>0</v>
      </c>
      <c r="AX254" s="18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6">
        <f t="shared" si="153"/>
        <v>0</v>
      </c>
      <c r="AW255" s="1876">
        <f t="shared" si="154"/>
        <v>0</v>
      </c>
      <c r="AX255" s="18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6">
        <f t="shared" si="153"/>
        <v>0</v>
      </c>
      <c r="AW256" s="1876">
        <f t="shared" si="154"/>
        <v>0</v>
      </c>
      <c r="AX256" s="18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6">
        <f t="shared" si="153"/>
        <v>0</v>
      </c>
      <c r="AW257" s="1876">
        <f t="shared" si="154"/>
        <v>0</v>
      </c>
      <c r="AX257" s="18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6">
        <f t="shared" si="153"/>
        <v>0</v>
      </c>
      <c r="AW258" s="1876">
        <f t="shared" si="154"/>
        <v>0</v>
      </c>
      <c r="AX258" s="18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6">
        <f t="shared" si="153"/>
        <v>0</v>
      </c>
      <c r="AW259" s="1876">
        <f t="shared" si="154"/>
        <v>0</v>
      </c>
      <c r="AX259" s="18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6">
        <f t="shared" si="153"/>
        <v>0</v>
      </c>
      <c r="AW260" s="1876">
        <f t="shared" si="154"/>
        <v>0</v>
      </c>
      <c r="AX260" s="18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6">
        <f t="shared" si="153"/>
        <v>0</v>
      </c>
      <c r="AW261" s="1876">
        <f t="shared" si="154"/>
        <v>0</v>
      </c>
      <c r="AX261" s="18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6">
        <f t="shared" si="153"/>
        <v>0</v>
      </c>
      <c r="AW262" s="1876">
        <f t="shared" si="154"/>
        <v>0</v>
      </c>
      <c r="AX262" s="18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6">
        <f t="shared" si="153"/>
        <v>0</v>
      </c>
      <c r="AW263" s="1876">
        <f t="shared" si="154"/>
        <v>0</v>
      </c>
      <c r="AX263" s="18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6">
        <f t="shared" si="153"/>
        <v>0</v>
      </c>
      <c r="AW264" s="1876">
        <f t="shared" si="154"/>
        <v>0</v>
      </c>
      <c r="AX264" s="18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6">
        <f t="shared" si="153"/>
        <v>0</v>
      </c>
      <c r="AW265" s="1876">
        <f t="shared" si="154"/>
        <v>0</v>
      </c>
      <c r="AX265" s="18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6">
        <f t="shared" si="153"/>
        <v>0</v>
      </c>
      <c r="AW266" s="1876">
        <f t="shared" si="154"/>
        <v>0</v>
      </c>
      <c r="AX266" s="18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6">
        <f t="shared" si="153"/>
        <v>0</v>
      </c>
      <c r="AW267" s="1876">
        <f t="shared" si="154"/>
        <v>0</v>
      </c>
      <c r="AX267" s="18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6">
        <f t="shared" si="153"/>
        <v>0</v>
      </c>
      <c r="AW268" s="1876">
        <f t="shared" si="154"/>
        <v>0</v>
      </c>
      <c r="AX268" s="18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6">
        <f t="shared" si="153"/>
        <v>0</v>
      </c>
      <c r="AW269" s="1876">
        <f t="shared" si="154"/>
        <v>0</v>
      </c>
      <c r="AX269" s="18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6">
        <f t="shared" si="153"/>
        <v>0</v>
      </c>
      <c r="AW270" s="1876">
        <f t="shared" si="154"/>
        <v>0</v>
      </c>
      <c r="AX270" s="18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6">
        <f t="shared" si="153"/>
        <v>0</v>
      </c>
      <c r="AW271" s="1876">
        <f t="shared" si="154"/>
        <v>0</v>
      </c>
      <c r="AX271" s="18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6">
        <f t="shared" si="153"/>
        <v>0</v>
      </c>
      <c r="AW272" s="1876">
        <f t="shared" si="154"/>
        <v>0</v>
      </c>
      <c r="AX272" s="18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6">
        <f t="shared" si="153"/>
        <v>0</v>
      </c>
      <c r="AW273" s="1876">
        <f t="shared" si="154"/>
        <v>0</v>
      </c>
      <c r="AX273" s="18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6">
        <f t="shared" si="153"/>
        <v>0</v>
      </c>
      <c r="AW274" s="1876">
        <f t="shared" si="154"/>
        <v>0</v>
      </c>
      <c r="AX274" s="18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6">
        <f t="shared" si="153"/>
        <v>0</v>
      </c>
      <c r="AW275" s="1876">
        <f t="shared" si="154"/>
        <v>0</v>
      </c>
      <c r="AX275" s="18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6">
        <f t="shared" si="153"/>
        <v>0</v>
      </c>
      <c r="AW276" s="1876">
        <f t="shared" si="154"/>
        <v>0</v>
      </c>
      <c r="AX276" s="18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6">
        <f t="shared" si="153"/>
        <v>0</v>
      </c>
      <c r="AW277" s="1876">
        <f t="shared" si="154"/>
        <v>0</v>
      </c>
      <c r="AX277" s="18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6">
        <f t="shared" si="153"/>
        <v>0</v>
      </c>
      <c r="AW278" s="1876">
        <f t="shared" si="154"/>
        <v>0</v>
      </c>
      <c r="AX278" s="18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6">
        <f t="shared" si="153"/>
        <v>0</v>
      </c>
      <c r="AW279" s="1876">
        <f t="shared" si="154"/>
        <v>0</v>
      </c>
      <c r="AX279" s="18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6">
        <f t="shared" si="153"/>
        <v>0</v>
      </c>
      <c r="AW280" s="1876">
        <f t="shared" si="154"/>
        <v>0</v>
      </c>
      <c r="AX280" s="18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6">
        <f t="shared" si="153"/>
        <v>0</v>
      </c>
      <c r="AW281" s="1876">
        <f t="shared" si="154"/>
        <v>0</v>
      </c>
      <c r="AX281" s="18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6">
        <f t="shared" si="153"/>
        <v>0</v>
      </c>
      <c r="AW282" s="1876">
        <f t="shared" si="154"/>
        <v>0</v>
      </c>
      <c r="AX282" s="18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6">
        <f t="shared" si="153"/>
        <v>0</v>
      </c>
      <c r="AW283" s="1876">
        <f t="shared" si="154"/>
        <v>0</v>
      </c>
      <c r="AX283" s="18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6">
        <f t="shared" si="153"/>
        <v>0</v>
      </c>
      <c r="AW284" s="1876">
        <f t="shared" si="154"/>
        <v>0</v>
      </c>
      <c r="AX284" s="18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6">
        <f t="shared" si="153"/>
        <v>0</v>
      </c>
      <c r="AW285" s="1876">
        <f t="shared" si="154"/>
        <v>0</v>
      </c>
      <c r="AX285" s="18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6">
        <f t="shared" si="153"/>
        <v>0</v>
      </c>
      <c r="AW286" s="1876">
        <f t="shared" si="154"/>
        <v>0</v>
      </c>
      <c r="AX286" s="18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6">
        <f t="shared" si="153"/>
        <v>0</v>
      </c>
      <c r="AW287" s="1876">
        <f t="shared" si="154"/>
        <v>0</v>
      </c>
      <c r="AX287" s="18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6">
        <f t="shared" si="153"/>
        <v>0</v>
      </c>
      <c r="AW288" s="1876">
        <f t="shared" si="154"/>
        <v>0</v>
      </c>
      <c r="AX288" s="18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6">
        <f t="shared" si="153"/>
        <v>0</v>
      </c>
      <c r="AW289" s="1876">
        <f t="shared" si="154"/>
        <v>0</v>
      </c>
      <c r="AX289" s="18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6">
        <f t="shared" si="153"/>
        <v>0</v>
      </c>
      <c r="AW290" s="1876">
        <f t="shared" si="154"/>
        <v>0</v>
      </c>
      <c r="AX290" s="18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6">
        <f t="shared" si="153"/>
        <v>0</v>
      </c>
      <c r="AW291" s="1876">
        <f t="shared" si="154"/>
        <v>0</v>
      </c>
      <c r="AX291" s="18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6">
        <f t="shared" si="153"/>
        <v>0</v>
      </c>
      <c r="AW292" s="1876">
        <f t="shared" si="154"/>
        <v>0</v>
      </c>
      <c r="AX292" s="18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6">
        <f t="shared" si="153"/>
        <v>0</v>
      </c>
      <c r="AW293" s="1876">
        <f t="shared" si="154"/>
        <v>0</v>
      </c>
      <c r="AX293" s="18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6">
        <f t="shared" si="153"/>
        <v>0</v>
      </c>
      <c r="AW294" s="1876">
        <f t="shared" si="154"/>
        <v>0</v>
      </c>
      <c r="AX294" s="18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6">
        <f t="shared" si="153"/>
        <v>0</v>
      </c>
      <c r="AW295" s="1876">
        <f t="shared" si="154"/>
        <v>0</v>
      </c>
      <c r="AX295" s="18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6">
        <f t="shared" si="153"/>
        <v>0</v>
      </c>
      <c r="AW296" s="1876">
        <f t="shared" si="154"/>
        <v>0</v>
      </c>
      <c r="AX296" s="18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876">
        <f t="shared" ref="AV297:AV328" si="204">A297</f>
        <v>0</v>
      </c>
      <c r="AW297" s="1876">
        <f t="shared" ref="AW297:AW328" si="205">B297</f>
        <v>0</v>
      </c>
      <c r="AX297" s="18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876">
        <f t="shared" si="204"/>
        <v>0</v>
      </c>
      <c r="AW298" s="1876">
        <f t="shared" si="205"/>
        <v>0</v>
      </c>
      <c r="AX298" s="18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876">
        <f t="shared" si="204"/>
        <v>0</v>
      </c>
      <c r="AW299" s="1876">
        <f t="shared" si="205"/>
        <v>0</v>
      </c>
      <c r="AX299" s="18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876">
        <f t="shared" si="204"/>
        <v>0</v>
      </c>
      <c r="AW300" s="1876">
        <f t="shared" si="205"/>
        <v>0</v>
      </c>
      <c r="AX300" s="18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876">
        <f t="shared" si="204"/>
        <v>0</v>
      </c>
      <c r="AW301" s="1876">
        <f t="shared" si="205"/>
        <v>0</v>
      </c>
      <c r="AX301" s="18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876">
        <f t="shared" si="204"/>
        <v>0</v>
      </c>
      <c r="AW302" s="1876">
        <f t="shared" si="205"/>
        <v>0</v>
      </c>
      <c r="AX302" s="18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876">
        <f t="shared" si="204"/>
        <v>0</v>
      </c>
      <c r="AW303" s="1876">
        <f t="shared" si="205"/>
        <v>0</v>
      </c>
      <c r="AX303" s="18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876">
        <f t="shared" si="204"/>
        <v>0</v>
      </c>
      <c r="AW304" s="1876">
        <f t="shared" si="205"/>
        <v>0</v>
      </c>
      <c r="AX304" s="18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876">
        <f t="shared" si="204"/>
        <v>0</v>
      </c>
      <c r="AW305" s="1876">
        <f t="shared" si="205"/>
        <v>0</v>
      </c>
      <c r="AX305" s="18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876">
        <f t="shared" si="204"/>
        <v>0</v>
      </c>
      <c r="AW306" s="1876">
        <f t="shared" si="205"/>
        <v>0</v>
      </c>
      <c r="AX306" s="18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876">
        <f t="shared" si="204"/>
        <v>0</v>
      </c>
      <c r="AW307" s="1876">
        <f t="shared" si="205"/>
        <v>0</v>
      </c>
      <c r="AX307" s="18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876">
        <f t="shared" si="204"/>
        <v>0</v>
      </c>
      <c r="AW308" s="1876">
        <f t="shared" si="205"/>
        <v>0</v>
      </c>
      <c r="AX308" s="18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876">
        <f t="shared" si="204"/>
        <v>0</v>
      </c>
      <c r="AW309" s="1876">
        <f t="shared" si="205"/>
        <v>0</v>
      </c>
      <c r="AX309" s="18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876">
        <f t="shared" si="204"/>
        <v>0</v>
      </c>
      <c r="AW310" s="1876">
        <f t="shared" si="205"/>
        <v>0</v>
      </c>
      <c r="AX310" s="18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876">
        <f t="shared" si="204"/>
        <v>0</v>
      </c>
      <c r="AW311" s="1876">
        <f t="shared" si="205"/>
        <v>0</v>
      </c>
      <c r="AX311" s="18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876">
        <f t="shared" si="204"/>
        <v>0</v>
      </c>
      <c r="AW312" s="1876">
        <f t="shared" si="205"/>
        <v>0</v>
      </c>
      <c r="AX312" s="18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876">
        <f t="shared" si="204"/>
        <v>0</v>
      </c>
      <c r="AW313" s="1876">
        <f t="shared" si="205"/>
        <v>0</v>
      </c>
      <c r="AX313" s="18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876">
        <f t="shared" si="204"/>
        <v>0</v>
      </c>
      <c r="AW314" s="1876">
        <f t="shared" si="205"/>
        <v>0</v>
      </c>
      <c r="AX314" s="18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876">
        <f t="shared" si="204"/>
        <v>0</v>
      </c>
      <c r="AW315" s="1876">
        <f t="shared" si="205"/>
        <v>0</v>
      </c>
      <c r="AX315" s="18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876">
        <f t="shared" si="204"/>
        <v>0</v>
      </c>
      <c r="AW316" s="1876">
        <f t="shared" si="205"/>
        <v>0</v>
      </c>
      <c r="AX316" s="18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876">
        <f t="shared" si="204"/>
        <v>0</v>
      </c>
      <c r="AW317" s="1876">
        <f t="shared" si="205"/>
        <v>0</v>
      </c>
      <c r="AX317" s="18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876">
        <f t="shared" si="204"/>
        <v>0</v>
      </c>
      <c r="AW318" s="1876">
        <f t="shared" si="205"/>
        <v>0</v>
      </c>
      <c r="AX318" s="18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876">
        <f t="shared" si="204"/>
        <v>0</v>
      </c>
      <c r="AW319" s="1876">
        <f t="shared" si="205"/>
        <v>0</v>
      </c>
      <c r="AX319" s="18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876">
        <f t="shared" si="204"/>
        <v>0</v>
      </c>
      <c r="AW320" s="1876">
        <f t="shared" si="205"/>
        <v>0</v>
      </c>
      <c r="AX320" s="18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876">
        <f t="shared" si="204"/>
        <v>0</v>
      </c>
      <c r="AW321" s="1876">
        <f t="shared" si="205"/>
        <v>0</v>
      </c>
      <c r="AX321" s="18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876">
        <f t="shared" si="204"/>
        <v>0</v>
      </c>
      <c r="AW322" s="1876">
        <f t="shared" si="205"/>
        <v>0</v>
      </c>
      <c r="AX322" s="18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876">
        <f t="shared" si="204"/>
        <v>0</v>
      </c>
      <c r="AW323" s="1876">
        <f t="shared" si="205"/>
        <v>0</v>
      </c>
      <c r="AX323" s="18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876">
        <f t="shared" si="204"/>
        <v>0</v>
      </c>
      <c r="AW324" s="1876">
        <f t="shared" si="205"/>
        <v>0</v>
      </c>
      <c r="AX324" s="18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876">
        <f t="shared" si="204"/>
        <v>0</v>
      </c>
      <c r="AW325" s="1876">
        <f t="shared" si="205"/>
        <v>0</v>
      </c>
      <c r="AX325" s="18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876">
        <f t="shared" si="204"/>
        <v>0</v>
      </c>
      <c r="AW326" s="1876">
        <f t="shared" si="205"/>
        <v>0</v>
      </c>
      <c r="AX326" s="18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876">
        <f t="shared" si="204"/>
        <v>0</v>
      </c>
      <c r="AW327" s="1876">
        <f t="shared" si="205"/>
        <v>0</v>
      </c>
      <c r="AX327" s="18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876">
        <f t="shared" si="204"/>
        <v>0</v>
      </c>
      <c r="AW328" s="1876">
        <f t="shared" si="205"/>
        <v>0</v>
      </c>
      <c r="AX328" s="18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876">
        <f t="shared" ref="AV329:AV360" si="233">A329</f>
        <v>0</v>
      </c>
      <c r="AW329" s="1876">
        <f t="shared" ref="AW329:AW360" si="234">B329</f>
        <v>0</v>
      </c>
      <c r="AX329" s="18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876">
        <f t="shared" si="233"/>
        <v>0</v>
      </c>
      <c r="AW330" s="1876">
        <f t="shared" si="234"/>
        <v>0</v>
      </c>
      <c r="AX330" s="18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876">
        <f t="shared" si="233"/>
        <v>0</v>
      </c>
      <c r="AW331" s="1876">
        <f t="shared" si="234"/>
        <v>0</v>
      </c>
      <c r="AX331" s="18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6">
        <f t="shared" si="233"/>
        <v>0</v>
      </c>
      <c r="AW332" s="1876">
        <f t="shared" si="234"/>
        <v>0</v>
      </c>
      <c r="AX332" s="18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6">
        <f t="shared" si="233"/>
        <v>0</v>
      </c>
      <c r="AW333" s="1876">
        <f t="shared" si="234"/>
        <v>0</v>
      </c>
      <c r="AX333" s="18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6">
        <f t="shared" si="233"/>
        <v>0</v>
      </c>
      <c r="AW334" s="1876">
        <f t="shared" si="234"/>
        <v>0</v>
      </c>
      <c r="AX334" s="18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6">
        <f t="shared" si="233"/>
        <v>0</v>
      </c>
      <c r="AW335" s="1876">
        <f t="shared" si="234"/>
        <v>0</v>
      </c>
      <c r="AX335" s="18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6">
        <f t="shared" si="233"/>
        <v>0</v>
      </c>
      <c r="AW336" s="1876">
        <f t="shared" si="234"/>
        <v>0</v>
      </c>
      <c r="AX336" s="18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6">
        <f t="shared" si="233"/>
        <v>0</v>
      </c>
      <c r="AW337" s="1876">
        <f t="shared" si="234"/>
        <v>0</v>
      </c>
      <c r="AX337" s="18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6">
        <f t="shared" si="233"/>
        <v>0</v>
      </c>
      <c r="AW338" s="1876">
        <f t="shared" si="234"/>
        <v>0</v>
      </c>
      <c r="AX338" s="18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6">
        <f t="shared" si="233"/>
        <v>0</v>
      </c>
      <c r="AW339" s="1876">
        <f t="shared" si="234"/>
        <v>0</v>
      </c>
      <c r="AX339" s="18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6">
        <f t="shared" si="233"/>
        <v>0</v>
      </c>
      <c r="AW340" s="1876">
        <f t="shared" si="234"/>
        <v>0</v>
      </c>
      <c r="AX340" s="18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6">
        <f t="shared" si="233"/>
        <v>0</v>
      </c>
      <c r="AW341" s="1876">
        <f t="shared" si="234"/>
        <v>0</v>
      </c>
      <c r="AX341" s="18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6">
        <f t="shared" si="233"/>
        <v>0</v>
      </c>
      <c r="AW342" s="1876">
        <f t="shared" si="234"/>
        <v>0</v>
      </c>
      <c r="AX342" s="18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6">
        <f t="shared" si="233"/>
        <v>0</v>
      </c>
      <c r="AW343" s="1876">
        <f t="shared" si="234"/>
        <v>0</v>
      </c>
      <c r="AX343" s="18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6">
        <f t="shared" si="233"/>
        <v>0</v>
      </c>
      <c r="AW344" s="1876">
        <f t="shared" si="234"/>
        <v>0</v>
      </c>
      <c r="AX344" s="18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6">
        <f t="shared" si="233"/>
        <v>0</v>
      </c>
      <c r="AW345" s="1876">
        <f t="shared" si="234"/>
        <v>0</v>
      </c>
      <c r="AX345" s="18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6">
        <f t="shared" si="233"/>
        <v>0</v>
      </c>
      <c r="AW346" s="1876">
        <f t="shared" si="234"/>
        <v>0</v>
      </c>
      <c r="AX346" s="18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6">
        <f t="shared" si="233"/>
        <v>0</v>
      </c>
      <c r="AW347" s="1876">
        <f t="shared" si="234"/>
        <v>0</v>
      </c>
      <c r="AX347" s="18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6">
        <f t="shared" si="233"/>
        <v>0</v>
      </c>
      <c r="AW348" s="1876">
        <f t="shared" si="234"/>
        <v>0</v>
      </c>
      <c r="AX348" s="18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6">
        <f t="shared" si="233"/>
        <v>0</v>
      </c>
      <c r="AW349" s="1876">
        <f t="shared" si="234"/>
        <v>0</v>
      </c>
      <c r="AX349" s="18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6">
        <f t="shared" si="233"/>
        <v>0</v>
      </c>
      <c r="AW350" s="1876">
        <f t="shared" si="234"/>
        <v>0</v>
      </c>
      <c r="AX350" s="18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6">
        <f t="shared" si="233"/>
        <v>0</v>
      </c>
      <c r="AW351" s="1876">
        <f t="shared" si="234"/>
        <v>0</v>
      </c>
      <c r="AX351" s="18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6">
        <f t="shared" si="233"/>
        <v>0</v>
      </c>
      <c r="AW352" s="1876">
        <f t="shared" si="234"/>
        <v>0</v>
      </c>
      <c r="AX352" s="18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6">
        <f t="shared" si="233"/>
        <v>0</v>
      </c>
      <c r="AW353" s="1876">
        <f t="shared" si="234"/>
        <v>0</v>
      </c>
      <c r="AX353" s="18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6">
        <f t="shared" si="233"/>
        <v>0</v>
      </c>
      <c r="AW354" s="1876">
        <f t="shared" si="234"/>
        <v>0</v>
      </c>
      <c r="AX354" s="18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6">
        <f t="shared" si="233"/>
        <v>0</v>
      </c>
      <c r="AW355" s="1876">
        <f t="shared" si="234"/>
        <v>0</v>
      </c>
      <c r="AX355" s="18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6">
        <f t="shared" si="233"/>
        <v>0</v>
      </c>
      <c r="AW356" s="1876">
        <f t="shared" si="234"/>
        <v>0</v>
      </c>
      <c r="AX356" s="18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6">
        <f t="shared" si="233"/>
        <v>0</v>
      </c>
      <c r="AW357" s="1876">
        <f t="shared" si="234"/>
        <v>0</v>
      </c>
      <c r="AX357" s="18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6">
        <f t="shared" si="233"/>
        <v>0</v>
      </c>
      <c r="AW358" s="1876">
        <f t="shared" si="234"/>
        <v>0</v>
      </c>
      <c r="AX358" s="18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6">
        <f t="shared" si="233"/>
        <v>0</v>
      </c>
      <c r="AW359" s="1876">
        <f t="shared" si="234"/>
        <v>0</v>
      </c>
      <c r="AX359" s="18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6">
        <f t="shared" si="233"/>
        <v>0</v>
      </c>
      <c r="AW360" s="1876">
        <f t="shared" si="234"/>
        <v>0</v>
      </c>
      <c r="AX360" s="18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6">
        <f t="shared" ref="AV361:AV388" si="262">A361</f>
        <v>0</v>
      </c>
      <c r="AW361" s="1876">
        <f t="shared" ref="AW361:AW388" si="263">B361</f>
        <v>0</v>
      </c>
      <c r="AX361" s="18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6">
        <f t="shared" si="262"/>
        <v>0</v>
      </c>
      <c r="AW362" s="1876">
        <f t="shared" si="263"/>
        <v>0</v>
      </c>
      <c r="AX362" s="18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6">
        <f t="shared" si="262"/>
        <v>0</v>
      </c>
      <c r="AW363" s="1876">
        <f t="shared" si="263"/>
        <v>0</v>
      </c>
      <c r="AX363" s="18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6">
        <f t="shared" si="262"/>
        <v>0</v>
      </c>
      <c r="AW364" s="1876">
        <f t="shared" si="263"/>
        <v>0</v>
      </c>
      <c r="AX364" s="18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6">
        <f t="shared" si="262"/>
        <v>0</v>
      </c>
      <c r="AW365" s="1876">
        <f t="shared" si="263"/>
        <v>0</v>
      </c>
      <c r="AX365" s="18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6">
        <f t="shared" si="262"/>
        <v>0</v>
      </c>
      <c r="AW366" s="1876">
        <f t="shared" si="263"/>
        <v>0</v>
      </c>
      <c r="AX366" s="18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6">
        <f t="shared" si="262"/>
        <v>0</v>
      </c>
      <c r="AW367" s="1876">
        <f t="shared" si="263"/>
        <v>0</v>
      </c>
      <c r="AX367" s="18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6">
        <f t="shared" si="262"/>
        <v>0</v>
      </c>
      <c r="AW368" s="1876">
        <f t="shared" si="263"/>
        <v>0</v>
      </c>
      <c r="AX368" s="18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6">
        <f t="shared" si="262"/>
        <v>0</v>
      </c>
      <c r="AW369" s="1876">
        <f t="shared" si="263"/>
        <v>0</v>
      </c>
      <c r="AX369" s="18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6">
        <f t="shared" si="262"/>
        <v>0</v>
      </c>
      <c r="AW370" s="1876">
        <f t="shared" si="263"/>
        <v>0</v>
      </c>
      <c r="AX370" s="18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6">
        <f t="shared" si="262"/>
        <v>0</v>
      </c>
      <c r="AW371" s="1876">
        <f t="shared" si="263"/>
        <v>0</v>
      </c>
      <c r="AX371" s="18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6">
        <f t="shared" si="262"/>
        <v>0</v>
      </c>
      <c r="AW372" s="1876">
        <f t="shared" si="263"/>
        <v>0</v>
      </c>
      <c r="AX372" s="18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6">
        <f t="shared" si="262"/>
        <v>0</v>
      </c>
      <c r="AW373" s="1876">
        <f t="shared" si="263"/>
        <v>0</v>
      </c>
      <c r="AX373" s="18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6">
        <f t="shared" si="262"/>
        <v>0</v>
      </c>
      <c r="AW374" s="1876">
        <f t="shared" si="263"/>
        <v>0</v>
      </c>
      <c r="AX374" s="18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6">
        <f t="shared" si="262"/>
        <v>0</v>
      </c>
      <c r="AW375" s="1876">
        <f t="shared" si="263"/>
        <v>0</v>
      </c>
      <c r="AX375" s="18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6">
        <f t="shared" si="262"/>
        <v>0</v>
      </c>
      <c r="AW376" s="1876">
        <f t="shared" si="263"/>
        <v>0</v>
      </c>
      <c r="AX376" s="18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6">
        <f t="shared" si="262"/>
        <v>0</v>
      </c>
      <c r="AW377" s="1876">
        <f t="shared" si="263"/>
        <v>0</v>
      </c>
      <c r="AX377" s="18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6">
        <f t="shared" si="262"/>
        <v>0</v>
      </c>
      <c r="AW378" s="1876">
        <f t="shared" si="263"/>
        <v>0</v>
      </c>
      <c r="AX378" s="18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6">
        <f t="shared" si="262"/>
        <v>0</v>
      </c>
      <c r="AW379" s="1876">
        <f t="shared" si="263"/>
        <v>0</v>
      </c>
      <c r="AX379" s="18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6">
        <f t="shared" si="262"/>
        <v>0</v>
      </c>
      <c r="AW380" s="1876">
        <f t="shared" si="263"/>
        <v>0</v>
      </c>
      <c r="AX380" s="18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6">
        <f t="shared" si="262"/>
        <v>0</v>
      </c>
      <c r="AW381" s="1876">
        <f t="shared" si="263"/>
        <v>0</v>
      </c>
      <c r="AX381" s="18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6">
        <f t="shared" si="262"/>
        <v>0</v>
      </c>
      <c r="AW382" s="1876">
        <f t="shared" si="263"/>
        <v>0</v>
      </c>
      <c r="AX382" s="18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6">
        <f t="shared" si="262"/>
        <v>0</v>
      </c>
      <c r="AW383" s="1876">
        <f t="shared" si="263"/>
        <v>0</v>
      </c>
      <c r="AX383" s="18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6">
        <f t="shared" si="262"/>
        <v>0</v>
      </c>
      <c r="AW384" s="1876">
        <f t="shared" si="263"/>
        <v>0</v>
      </c>
      <c r="AX384" s="18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6">
        <f t="shared" si="262"/>
        <v>0</v>
      </c>
      <c r="AW385" s="1876">
        <f t="shared" si="263"/>
        <v>0</v>
      </c>
      <c r="AX385" s="18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6">
        <f t="shared" si="262"/>
        <v>0</v>
      </c>
      <c r="AW386" s="1876">
        <f t="shared" si="263"/>
        <v>0</v>
      </c>
      <c r="AX386" s="18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6">
        <f t="shared" si="262"/>
        <v>0</v>
      </c>
      <c r="AW387" s="1876">
        <f t="shared" si="263"/>
        <v>0</v>
      </c>
      <c r="AX387" s="18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6">
        <f t="shared" si="262"/>
        <v>0</v>
      </c>
      <c r="AW388" s="1876">
        <f t="shared" si="263"/>
        <v>0</v>
      </c>
      <c r="AX388" s="18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876">
        <f t="shared" ref="AV389:AV480" si="269">A389</f>
        <v>0</v>
      </c>
      <c r="AW389" s="1876">
        <f t="shared" ref="AW389:AW480" si="270">B389</f>
        <v>0</v>
      </c>
      <c r="AX389" s="18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876">
        <f t="shared" si="269"/>
        <v>0</v>
      </c>
      <c r="AW390" s="1876">
        <f t="shared" si="270"/>
        <v>0</v>
      </c>
      <c r="AX390" s="18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876">
        <f t="shared" si="269"/>
        <v>0</v>
      </c>
      <c r="AW391" s="1876">
        <f t="shared" si="270"/>
        <v>0</v>
      </c>
      <c r="AX391" s="18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876">
        <f t="shared" si="269"/>
        <v>0</v>
      </c>
      <c r="AW392" s="1876">
        <f t="shared" si="270"/>
        <v>0</v>
      </c>
      <c r="AX392" s="18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876">
        <f t="shared" si="269"/>
        <v>0</v>
      </c>
      <c r="AW393" s="1876">
        <f t="shared" si="270"/>
        <v>0</v>
      </c>
      <c r="AX393" s="18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876">
        <f t="shared" si="269"/>
        <v>0</v>
      </c>
      <c r="AW394" s="1876">
        <f t="shared" si="270"/>
        <v>0</v>
      </c>
      <c r="AX394" s="18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876">
        <f t="shared" si="269"/>
        <v>0</v>
      </c>
      <c r="AW395" s="1876">
        <f t="shared" si="270"/>
        <v>0</v>
      </c>
      <c r="AX395" s="18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876">
        <f t="shared" si="269"/>
        <v>0</v>
      </c>
      <c r="AW396" s="1876">
        <f t="shared" si="270"/>
        <v>0</v>
      </c>
      <c r="AX396" s="18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876">
        <f t="shared" si="269"/>
        <v>0</v>
      </c>
      <c r="AW397" s="1876">
        <f t="shared" si="270"/>
        <v>0</v>
      </c>
      <c r="AX397" s="18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876">
        <f t="shared" si="269"/>
        <v>0</v>
      </c>
      <c r="AW398" s="1876">
        <f t="shared" si="270"/>
        <v>0</v>
      </c>
      <c r="AX398" s="18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876">
        <f t="shared" si="269"/>
        <v>0</v>
      </c>
      <c r="AW399" s="1876">
        <f t="shared" si="270"/>
        <v>0</v>
      </c>
      <c r="AX399" s="18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876">
        <f t="shared" si="269"/>
        <v>0</v>
      </c>
      <c r="AW400" s="1876">
        <f t="shared" si="270"/>
        <v>0</v>
      </c>
      <c r="AX400" s="18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876">
        <f t="shared" si="269"/>
        <v>0</v>
      </c>
      <c r="AW401" s="1876">
        <f t="shared" si="270"/>
        <v>0</v>
      </c>
      <c r="AX401" s="18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876">
        <f t="shared" si="269"/>
        <v>0</v>
      </c>
      <c r="AW402" s="1876">
        <f t="shared" si="270"/>
        <v>0</v>
      </c>
      <c r="AX402" s="18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876">
        <f t="shared" si="269"/>
        <v>0</v>
      </c>
      <c r="AW403" s="1876">
        <f t="shared" si="270"/>
        <v>0</v>
      </c>
      <c r="AX403" s="18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876">
        <f t="shared" si="269"/>
        <v>0</v>
      </c>
      <c r="AW404" s="1876">
        <f t="shared" si="270"/>
        <v>0</v>
      </c>
      <c r="AX404" s="18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876">
        <f t="shared" si="269"/>
        <v>0</v>
      </c>
      <c r="AW405" s="1876">
        <f t="shared" si="270"/>
        <v>0</v>
      </c>
      <c r="AX405" s="18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876">
        <f t="shared" si="269"/>
        <v>0</v>
      </c>
      <c r="AW406" s="1876">
        <f t="shared" si="270"/>
        <v>0</v>
      </c>
      <c r="AX406" s="18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876">
        <f t="shared" si="269"/>
        <v>0</v>
      </c>
      <c r="AW407" s="1876">
        <f t="shared" si="270"/>
        <v>0</v>
      </c>
      <c r="AX407" s="18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876">
        <f t="shared" si="269"/>
        <v>0</v>
      </c>
      <c r="AW408" s="1876">
        <f t="shared" si="270"/>
        <v>0</v>
      </c>
      <c r="AX408" s="18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876">
        <f t="shared" si="269"/>
        <v>0</v>
      </c>
      <c r="AW409" s="1876">
        <f t="shared" si="270"/>
        <v>0</v>
      </c>
      <c r="AX409" s="18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876">
        <f t="shared" si="269"/>
        <v>0</v>
      </c>
      <c r="AW410" s="1876">
        <f t="shared" si="270"/>
        <v>0</v>
      </c>
      <c r="AX410" s="18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876">
        <f t="shared" si="269"/>
        <v>0</v>
      </c>
      <c r="AW411" s="1876">
        <f t="shared" si="270"/>
        <v>0</v>
      </c>
      <c r="AX411" s="18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876">
        <f t="shared" si="269"/>
        <v>0</v>
      </c>
      <c r="AW412" s="1876">
        <f t="shared" si="270"/>
        <v>0</v>
      </c>
      <c r="AX412" s="18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876">
        <f t="shared" si="269"/>
        <v>0</v>
      </c>
      <c r="AW413" s="1876">
        <f t="shared" si="270"/>
        <v>0</v>
      </c>
      <c r="AX413" s="18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876">
        <f t="shared" si="269"/>
        <v>0</v>
      </c>
      <c r="AW414" s="1876">
        <f t="shared" si="270"/>
        <v>0</v>
      </c>
      <c r="AX414" s="18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876">
        <f t="shared" si="269"/>
        <v>0</v>
      </c>
      <c r="AW415" s="1876">
        <f t="shared" si="270"/>
        <v>0</v>
      </c>
      <c r="AX415" s="18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876">
        <f t="shared" si="269"/>
        <v>0</v>
      </c>
      <c r="AW416" s="1876">
        <f t="shared" si="270"/>
        <v>0</v>
      </c>
      <c r="AX416" s="18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876">
        <f t="shared" si="269"/>
        <v>0</v>
      </c>
      <c r="AW417" s="1876">
        <f t="shared" si="270"/>
        <v>0</v>
      </c>
      <c r="AX417" s="18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876">
        <f t="shared" si="269"/>
        <v>0</v>
      </c>
      <c r="AW418" s="1876">
        <f t="shared" si="270"/>
        <v>0</v>
      </c>
      <c r="AX418" s="18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876">
        <f t="shared" si="269"/>
        <v>0</v>
      </c>
      <c r="AW419" s="1876">
        <f t="shared" si="270"/>
        <v>0</v>
      </c>
      <c r="AX419" s="18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876">
        <f t="shared" si="269"/>
        <v>0</v>
      </c>
      <c r="AW420" s="1876">
        <f t="shared" si="270"/>
        <v>0</v>
      </c>
      <c r="AX420" s="18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876">
        <f t="shared" si="269"/>
        <v>0</v>
      </c>
      <c r="AW421" s="1876">
        <f t="shared" si="270"/>
        <v>0</v>
      </c>
      <c r="AX421" s="18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876">
        <f t="shared" si="269"/>
        <v>0</v>
      </c>
      <c r="AW422" s="1876">
        <f t="shared" si="270"/>
        <v>0</v>
      </c>
      <c r="AX422" s="18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876">
        <f t="shared" si="269"/>
        <v>0</v>
      </c>
      <c r="AW423" s="1876">
        <f t="shared" si="270"/>
        <v>0</v>
      </c>
      <c r="AX423" s="18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6">
        <f t="shared" si="269"/>
        <v>0</v>
      </c>
      <c r="AW424" s="1876">
        <f t="shared" si="270"/>
        <v>0</v>
      </c>
      <c r="AX424" s="18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6">
        <f t="shared" si="269"/>
        <v>0</v>
      </c>
      <c r="AW425" s="1876">
        <f t="shared" si="270"/>
        <v>0</v>
      </c>
      <c r="AX425" s="18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6">
        <f t="shared" si="269"/>
        <v>0</v>
      </c>
      <c r="AW426" s="1876">
        <f t="shared" si="270"/>
        <v>0</v>
      </c>
      <c r="AX426" s="18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6">
        <f t="shared" si="269"/>
        <v>0</v>
      </c>
      <c r="AW427" s="1876">
        <f t="shared" si="270"/>
        <v>0</v>
      </c>
      <c r="AX427" s="18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6">
        <f t="shared" si="269"/>
        <v>0</v>
      </c>
      <c r="AW428" s="1876">
        <f t="shared" si="270"/>
        <v>0</v>
      </c>
      <c r="AX428" s="18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6">
        <f t="shared" si="269"/>
        <v>0</v>
      </c>
      <c r="AW429" s="1876">
        <f t="shared" si="270"/>
        <v>0</v>
      </c>
      <c r="AX429" s="18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6">
        <f t="shared" si="269"/>
        <v>0</v>
      </c>
      <c r="AW430" s="1876">
        <f t="shared" si="270"/>
        <v>0</v>
      </c>
      <c r="AX430" s="18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6">
        <f t="shared" si="269"/>
        <v>0</v>
      </c>
      <c r="AW431" s="1876">
        <f t="shared" si="270"/>
        <v>0</v>
      </c>
      <c r="AX431" s="18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6">
        <f t="shared" si="269"/>
        <v>0</v>
      </c>
      <c r="AW432" s="1876">
        <f t="shared" si="270"/>
        <v>0</v>
      </c>
      <c r="AX432" s="18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6">
        <f t="shared" si="269"/>
        <v>0</v>
      </c>
      <c r="AW433" s="1876">
        <f t="shared" si="270"/>
        <v>0</v>
      </c>
      <c r="AX433" s="18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6">
        <f t="shared" si="269"/>
        <v>0</v>
      </c>
      <c r="AW434" s="1876">
        <f t="shared" si="270"/>
        <v>0</v>
      </c>
      <c r="AX434" s="18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6">
        <f t="shared" si="269"/>
        <v>0</v>
      </c>
      <c r="AW435" s="1876">
        <f t="shared" si="270"/>
        <v>0</v>
      </c>
      <c r="AX435" s="18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6">
        <f t="shared" si="269"/>
        <v>0</v>
      </c>
      <c r="AW436" s="1876">
        <f t="shared" si="270"/>
        <v>0</v>
      </c>
      <c r="AX436" s="18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6">
        <f t="shared" si="269"/>
        <v>0</v>
      </c>
      <c r="AW437" s="1876">
        <f t="shared" si="270"/>
        <v>0</v>
      </c>
      <c r="AX437" s="18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6">
        <f t="shared" si="269"/>
        <v>0</v>
      </c>
      <c r="AW438" s="1876">
        <f t="shared" si="270"/>
        <v>0</v>
      </c>
      <c r="AX438" s="18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6">
        <f t="shared" si="269"/>
        <v>0</v>
      </c>
      <c r="AW439" s="1876">
        <f t="shared" si="270"/>
        <v>0</v>
      </c>
      <c r="AX439" s="18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6">
        <f t="shared" si="269"/>
        <v>0</v>
      </c>
      <c r="AW440" s="1876">
        <f t="shared" si="270"/>
        <v>0</v>
      </c>
      <c r="AX440" s="18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6">
        <f t="shared" si="269"/>
        <v>0</v>
      </c>
      <c r="AW441" s="1876">
        <f t="shared" si="270"/>
        <v>0</v>
      </c>
      <c r="AX441" s="18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6">
        <f t="shared" si="269"/>
        <v>0</v>
      </c>
      <c r="AW442" s="1876">
        <f t="shared" si="270"/>
        <v>0</v>
      </c>
      <c r="AX442" s="18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6">
        <f t="shared" si="269"/>
        <v>0</v>
      </c>
      <c r="AW443" s="1876">
        <f t="shared" si="270"/>
        <v>0</v>
      </c>
      <c r="AX443" s="18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6">
        <f t="shared" si="269"/>
        <v>0</v>
      </c>
      <c r="AW444" s="1876">
        <f t="shared" si="270"/>
        <v>0</v>
      </c>
      <c r="AX444" s="18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6">
        <f t="shared" si="269"/>
        <v>0</v>
      </c>
      <c r="AW445" s="1876">
        <f t="shared" si="270"/>
        <v>0</v>
      </c>
      <c r="AX445" s="18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6">
        <f t="shared" si="269"/>
        <v>0</v>
      </c>
      <c r="AW446" s="1876">
        <f t="shared" si="270"/>
        <v>0</v>
      </c>
      <c r="AX446" s="18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6">
        <f t="shared" si="269"/>
        <v>0</v>
      </c>
      <c r="AW447" s="1876">
        <f t="shared" si="270"/>
        <v>0</v>
      </c>
      <c r="AX447" s="18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6">
        <f t="shared" si="269"/>
        <v>0</v>
      </c>
      <c r="AW448" s="1876">
        <f t="shared" si="270"/>
        <v>0</v>
      </c>
      <c r="AX448" s="18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6">
        <f t="shared" si="269"/>
        <v>0</v>
      </c>
      <c r="AW449" s="1876">
        <f t="shared" si="270"/>
        <v>0</v>
      </c>
      <c r="AX449" s="18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6">
        <f t="shared" si="269"/>
        <v>0</v>
      </c>
      <c r="AW450" s="1876">
        <f t="shared" si="270"/>
        <v>0</v>
      </c>
      <c r="AX450" s="18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6">
        <f t="shared" si="269"/>
        <v>0</v>
      </c>
      <c r="AW451" s="1876">
        <f t="shared" si="270"/>
        <v>0</v>
      </c>
      <c r="AX451" s="18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6">
        <f t="shared" si="269"/>
        <v>0</v>
      </c>
      <c r="AW452" s="1876">
        <f t="shared" si="270"/>
        <v>0</v>
      </c>
      <c r="AX452" s="18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6">
        <f t="shared" si="269"/>
        <v>0</v>
      </c>
      <c r="AW453" s="1876">
        <f t="shared" si="270"/>
        <v>0</v>
      </c>
      <c r="AX453" s="18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6">
        <f t="shared" si="269"/>
        <v>0</v>
      </c>
      <c r="AW454" s="1876">
        <f t="shared" si="270"/>
        <v>0</v>
      </c>
      <c r="AX454" s="18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6">
        <f t="shared" si="269"/>
        <v>0</v>
      </c>
      <c r="AW455" s="1876">
        <f t="shared" si="270"/>
        <v>0</v>
      </c>
      <c r="AX455" s="18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6">
        <f t="shared" si="269"/>
        <v>0</v>
      </c>
      <c r="AW456" s="1876">
        <f t="shared" si="270"/>
        <v>0</v>
      </c>
      <c r="AX456" s="18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6">
        <f t="shared" si="269"/>
        <v>0</v>
      </c>
      <c r="AW457" s="1876">
        <f t="shared" si="270"/>
        <v>0</v>
      </c>
      <c r="AX457" s="18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6">
        <f t="shared" si="269"/>
        <v>0</v>
      </c>
      <c r="AW458" s="1876">
        <f t="shared" si="270"/>
        <v>0</v>
      </c>
      <c r="AX458" s="18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6">
        <f t="shared" si="269"/>
        <v>0</v>
      </c>
      <c r="AW459" s="1876">
        <f t="shared" si="270"/>
        <v>0</v>
      </c>
      <c r="AX459" s="18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6">
        <f t="shared" si="269"/>
        <v>0</v>
      </c>
      <c r="AW460" s="1876">
        <f t="shared" si="270"/>
        <v>0</v>
      </c>
      <c r="AX460" s="18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6">
        <f t="shared" si="269"/>
        <v>0</v>
      </c>
      <c r="AW461" s="1876">
        <f t="shared" si="270"/>
        <v>0</v>
      </c>
      <c r="AX461" s="18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6">
        <f t="shared" si="269"/>
        <v>0</v>
      </c>
      <c r="AW462" s="1876">
        <f t="shared" si="270"/>
        <v>0</v>
      </c>
      <c r="AX462" s="18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6">
        <f t="shared" si="269"/>
        <v>0</v>
      </c>
      <c r="AW463" s="1876">
        <f t="shared" si="270"/>
        <v>0</v>
      </c>
      <c r="AX463" s="18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6">
        <f t="shared" si="269"/>
        <v>0</v>
      </c>
      <c r="AW464" s="1876">
        <f t="shared" si="270"/>
        <v>0</v>
      </c>
      <c r="AX464" s="18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6">
        <f t="shared" si="269"/>
        <v>0</v>
      </c>
      <c r="AW465" s="1876">
        <f t="shared" si="270"/>
        <v>0</v>
      </c>
      <c r="AX465" s="18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6">
        <f t="shared" si="269"/>
        <v>0</v>
      </c>
      <c r="AW466" s="1876">
        <f t="shared" si="270"/>
        <v>0</v>
      </c>
      <c r="AX466" s="18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6">
        <f t="shared" si="269"/>
        <v>0</v>
      </c>
      <c r="AW467" s="1876">
        <f t="shared" si="270"/>
        <v>0</v>
      </c>
      <c r="AX467" s="18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6">
        <f t="shared" si="269"/>
        <v>0</v>
      </c>
      <c r="AW468" s="1876">
        <f t="shared" si="270"/>
        <v>0</v>
      </c>
      <c r="AX468" s="18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6">
        <f t="shared" si="269"/>
        <v>0</v>
      </c>
      <c r="AW469" s="1876">
        <f t="shared" si="270"/>
        <v>0</v>
      </c>
      <c r="AX469" s="18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6">
        <f t="shared" si="269"/>
        <v>0</v>
      </c>
      <c r="AW470" s="1876">
        <f t="shared" si="270"/>
        <v>0</v>
      </c>
      <c r="AX470" s="18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6">
        <f t="shared" si="269"/>
        <v>0</v>
      </c>
      <c r="AW471" s="1876">
        <f t="shared" si="270"/>
        <v>0</v>
      </c>
      <c r="AX471" s="18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6">
        <f t="shared" si="269"/>
        <v>0</v>
      </c>
      <c r="AW472" s="1876">
        <f t="shared" si="270"/>
        <v>0</v>
      </c>
      <c r="AX472" s="18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6">
        <f t="shared" si="269"/>
        <v>0</v>
      </c>
      <c r="AW473" s="1876">
        <f t="shared" si="270"/>
        <v>0</v>
      </c>
      <c r="AX473" s="18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6">
        <f t="shared" si="269"/>
        <v>0</v>
      </c>
      <c r="AW474" s="1876">
        <f t="shared" si="270"/>
        <v>0</v>
      </c>
      <c r="AX474" s="18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6">
        <f t="shared" si="269"/>
        <v>0</v>
      </c>
      <c r="AW475" s="1876">
        <f t="shared" si="270"/>
        <v>0</v>
      </c>
      <c r="AX475" s="18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6">
        <f t="shared" si="269"/>
        <v>0</v>
      </c>
      <c r="AW476" s="1876">
        <f t="shared" si="270"/>
        <v>0</v>
      </c>
      <c r="AX476" s="18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6">
        <f t="shared" si="269"/>
        <v>0</v>
      </c>
      <c r="AW477" s="1876">
        <f t="shared" si="270"/>
        <v>0</v>
      </c>
      <c r="AX477" s="18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6">
        <f t="shared" si="269"/>
        <v>0</v>
      </c>
      <c r="AW478" s="1876">
        <f t="shared" si="270"/>
        <v>0</v>
      </c>
      <c r="AX478" s="18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6">
        <f t="shared" si="269"/>
        <v>0</v>
      </c>
      <c r="AW479" s="1876">
        <f t="shared" si="270"/>
        <v>0</v>
      </c>
      <c r="AX479" s="18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6">
        <f t="shared" si="269"/>
        <v>0</v>
      </c>
      <c r="AW480" s="1876">
        <f t="shared" si="270"/>
        <v>0</v>
      </c>
      <c r="AX480" s="18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7" t="s">
        <v>0</v>
      </c>
      <c r="B1" s="3387" t="s">
        <v>4</v>
      </c>
      <c r="C1" s="3387" t="s">
        <v>5</v>
      </c>
      <c r="D1" s="3388" t="s">
        <v>40</v>
      </c>
      <c r="E1" s="3388" t="s">
        <v>41</v>
      </c>
      <c r="F1" s="3388"/>
      <c r="G1" s="3388"/>
      <c r="H1" s="3388"/>
      <c r="I1" s="3388"/>
      <c r="J1" s="3388"/>
      <c r="K1" s="3388"/>
      <c r="L1" s="3388"/>
      <c r="M1" s="3388"/>
    </row>
    <row r="2" spans="1:13" ht="27" customHeight="1">
      <c r="A2" s="3387"/>
      <c r="B2" s="3387"/>
      <c r="C2" s="3387"/>
      <c r="D2" s="3388"/>
      <c r="E2" s="3388" t="s">
        <v>24</v>
      </c>
      <c r="F2" s="3388" t="s">
        <v>25</v>
      </c>
      <c r="G2" s="3388"/>
      <c r="H2" s="3388"/>
      <c r="I2" s="3388"/>
      <c r="J2" s="3388" t="s">
        <v>26</v>
      </c>
      <c r="K2" s="3388"/>
      <c r="L2" s="3388"/>
      <c r="M2" s="3388"/>
    </row>
    <row r="3" spans="1:13" ht="28.5">
      <c r="A3" s="3387"/>
      <c r="B3" s="3387"/>
      <c r="C3" s="3387"/>
      <c r="D3" s="3388"/>
      <c r="E3" s="33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8" t="s">
        <v>42</v>
      </c>
      <c r="B9" s="3388"/>
      <c r="C9" s="33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9"/>
  <sheetViews>
    <sheetView topLeftCell="A37" workbookViewId="0">
      <selection activeCell="E73" sqref="E73"/>
    </sheetView>
  </sheetViews>
  <sheetFormatPr defaultRowHeight="12"/>
  <cols>
    <col min="1" max="1" width="11.75" style="3160" customWidth="1"/>
    <col min="2" max="2" width="10.875" style="3161" customWidth="1"/>
    <col min="3" max="3" width="18" style="3159" customWidth="1"/>
    <col min="4" max="4" width="12.5" style="3159" customWidth="1"/>
    <col min="5" max="5" width="11.25" style="3159" customWidth="1"/>
    <col min="6" max="7" width="11.25" style="3162" customWidth="1"/>
    <col min="8" max="8" width="14.25" style="3159" customWidth="1"/>
    <col min="9" max="9" width="15.875" style="3159" customWidth="1"/>
    <col min="10" max="10" width="12.625" style="3159" customWidth="1"/>
    <col min="11" max="11" width="11.25" style="3159" customWidth="1"/>
    <col min="12" max="12" width="13.25" style="3159" customWidth="1"/>
    <col min="13" max="13" width="13.625" style="3159" customWidth="1"/>
    <col min="14" max="14" width="13" style="3159" customWidth="1"/>
    <col min="15" max="15" width="20.375" style="3159" customWidth="1"/>
    <col min="16" max="16" width="21.5" style="3159" customWidth="1"/>
    <col min="17" max="17" width="18.25" style="3159" customWidth="1"/>
    <col min="18" max="18" width="8.75" style="3159" customWidth="1"/>
    <col min="19" max="19" width="2.75" style="3159" customWidth="1"/>
    <col min="20" max="20" width="21.25" style="3159" customWidth="1"/>
    <col min="21" max="21" width="20.75" style="3159" customWidth="1"/>
    <col min="22" max="256" width="9" style="3159"/>
    <col min="257" max="257" width="11.75" style="3159" customWidth="1"/>
    <col min="258" max="258" width="10.875" style="3159" customWidth="1"/>
    <col min="259" max="259" width="18" style="3159" customWidth="1"/>
    <col min="260" max="260" width="12.5" style="3159" customWidth="1"/>
    <col min="261" max="263" width="11.25" style="3159" customWidth="1"/>
    <col min="264" max="264" width="14.25" style="3159" customWidth="1"/>
    <col min="265" max="265" width="15.875" style="3159" customWidth="1"/>
    <col min="266" max="266" width="12.625" style="3159" customWidth="1"/>
    <col min="267" max="267" width="11.25" style="3159" customWidth="1"/>
    <col min="268" max="268" width="13.25" style="3159" customWidth="1"/>
    <col min="269" max="269" width="13.625" style="3159" customWidth="1"/>
    <col min="270" max="270" width="13" style="3159" customWidth="1"/>
    <col min="271" max="271" width="20.375" style="3159" customWidth="1"/>
    <col min="272" max="272" width="21.5" style="3159" customWidth="1"/>
    <col min="273" max="273" width="18.25" style="3159" customWidth="1"/>
    <col min="274" max="274" width="8.75" style="3159" customWidth="1"/>
    <col min="275" max="275" width="2.75" style="3159" customWidth="1"/>
    <col min="276" max="276" width="21.25" style="3159" customWidth="1"/>
    <col min="277" max="277" width="20.75" style="3159" customWidth="1"/>
    <col min="278" max="512" width="9" style="3159"/>
    <col min="513" max="513" width="11.75" style="3159" customWidth="1"/>
    <col min="514" max="514" width="10.875" style="3159" customWidth="1"/>
    <col min="515" max="515" width="18" style="3159" customWidth="1"/>
    <col min="516" max="516" width="12.5" style="3159" customWidth="1"/>
    <col min="517" max="519" width="11.25" style="3159" customWidth="1"/>
    <col min="520" max="520" width="14.25" style="3159" customWidth="1"/>
    <col min="521" max="521" width="15.875" style="3159" customWidth="1"/>
    <col min="522" max="522" width="12.625" style="3159" customWidth="1"/>
    <col min="523" max="523" width="11.25" style="3159" customWidth="1"/>
    <col min="524" max="524" width="13.25" style="3159" customWidth="1"/>
    <col min="525" max="525" width="13.625" style="3159" customWidth="1"/>
    <col min="526" max="526" width="13" style="3159" customWidth="1"/>
    <col min="527" max="527" width="20.375" style="3159" customWidth="1"/>
    <col min="528" max="528" width="21.5" style="3159" customWidth="1"/>
    <col min="529" max="529" width="18.25" style="3159" customWidth="1"/>
    <col min="530" max="530" width="8.75" style="3159" customWidth="1"/>
    <col min="531" max="531" width="2.75" style="3159" customWidth="1"/>
    <col min="532" max="532" width="21.25" style="3159" customWidth="1"/>
    <col min="533" max="533" width="20.75" style="3159" customWidth="1"/>
    <col min="534" max="768" width="9" style="3159"/>
    <col min="769" max="769" width="11.75" style="3159" customWidth="1"/>
    <col min="770" max="770" width="10.875" style="3159" customWidth="1"/>
    <col min="771" max="771" width="18" style="3159" customWidth="1"/>
    <col min="772" max="772" width="12.5" style="3159" customWidth="1"/>
    <col min="773" max="775" width="11.25" style="3159" customWidth="1"/>
    <col min="776" max="776" width="14.25" style="3159" customWidth="1"/>
    <col min="777" max="777" width="15.875" style="3159" customWidth="1"/>
    <col min="778" max="778" width="12.625" style="3159" customWidth="1"/>
    <col min="779" max="779" width="11.25" style="3159" customWidth="1"/>
    <col min="780" max="780" width="13.25" style="3159" customWidth="1"/>
    <col min="781" max="781" width="13.625" style="3159" customWidth="1"/>
    <col min="782" max="782" width="13" style="3159" customWidth="1"/>
    <col min="783" max="783" width="20.375" style="3159" customWidth="1"/>
    <col min="784" max="784" width="21.5" style="3159" customWidth="1"/>
    <col min="785" max="785" width="18.25" style="3159" customWidth="1"/>
    <col min="786" max="786" width="8.75" style="3159" customWidth="1"/>
    <col min="787" max="787" width="2.75" style="3159" customWidth="1"/>
    <col min="788" max="788" width="21.25" style="3159" customWidth="1"/>
    <col min="789" max="789" width="20.75" style="3159" customWidth="1"/>
    <col min="790" max="1024" width="9" style="3159"/>
    <col min="1025" max="1025" width="11.75" style="3159" customWidth="1"/>
    <col min="1026" max="1026" width="10.875" style="3159" customWidth="1"/>
    <col min="1027" max="1027" width="18" style="3159" customWidth="1"/>
    <col min="1028" max="1028" width="12.5" style="3159" customWidth="1"/>
    <col min="1029" max="1031" width="11.25" style="3159" customWidth="1"/>
    <col min="1032" max="1032" width="14.25" style="3159" customWidth="1"/>
    <col min="1033" max="1033" width="15.875" style="3159" customWidth="1"/>
    <col min="1034" max="1034" width="12.625" style="3159" customWidth="1"/>
    <col min="1035" max="1035" width="11.25" style="3159" customWidth="1"/>
    <col min="1036" max="1036" width="13.25" style="3159" customWidth="1"/>
    <col min="1037" max="1037" width="13.625" style="3159" customWidth="1"/>
    <col min="1038" max="1038" width="13" style="3159" customWidth="1"/>
    <col min="1039" max="1039" width="20.375" style="3159" customWidth="1"/>
    <col min="1040" max="1040" width="21.5" style="3159" customWidth="1"/>
    <col min="1041" max="1041" width="18.25" style="3159" customWidth="1"/>
    <col min="1042" max="1042" width="8.75" style="3159" customWidth="1"/>
    <col min="1043" max="1043" width="2.75" style="3159" customWidth="1"/>
    <col min="1044" max="1044" width="21.25" style="3159" customWidth="1"/>
    <col min="1045" max="1045" width="20.75" style="3159" customWidth="1"/>
    <col min="1046" max="1280" width="9" style="3159"/>
    <col min="1281" max="1281" width="11.75" style="3159" customWidth="1"/>
    <col min="1282" max="1282" width="10.875" style="3159" customWidth="1"/>
    <col min="1283" max="1283" width="18" style="3159" customWidth="1"/>
    <col min="1284" max="1284" width="12.5" style="3159" customWidth="1"/>
    <col min="1285" max="1287" width="11.25" style="3159" customWidth="1"/>
    <col min="1288" max="1288" width="14.25" style="3159" customWidth="1"/>
    <col min="1289" max="1289" width="15.875" style="3159" customWidth="1"/>
    <col min="1290" max="1290" width="12.625" style="3159" customWidth="1"/>
    <col min="1291" max="1291" width="11.25" style="3159" customWidth="1"/>
    <col min="1292" max="1292" width="13.25" style="3159" customWidth="1"/>
    <col min="1293" max="1293" width="13.625" style="3159" customWidth="1"/>
    <col min="1294" max="1294" width="13" style="3159" customWidth="1"/>
    <col min="1295" max="1295" width="20.375" style="3159" customWidth="1"/>
    <col min="1296" max="1296" width="21.5" style="3159" customWidth="1"/>
    <col min="1297" max="1297" width="18.25" style="3159" customWidth="1"/>
    <col min="1298" max="1298" width="8.75" style="3159" customWidth="1"/>
    <col min="1299" max="1299" width="2.75" style="3159" customWidth="1"/>
    <col min="1300" max="1300" width="21.25" style="3159" customWidth="1"/>
    <col min="1301" max="1301" width="20.75" style="3159" customWidth="1"/>
    <col min="1302" max="1536" width="9" style="3159"/>
    <col min="1537" max="1537" width="11.75" style="3159" customWidth="1"/>
    <col min="1538" max="1538" width="10.875" style="3159" customWidth="1"/>
    <col min="1539" max="1539" width="18" style="3159" customWidth="1"/>
    <col min="1540" max="1540" width="12.5" style="3159" customWidth="1"/>
    <col min="1541" max="1543" width="11.25" style="3159" customWidth="1"/>
    <col min="1544" max="1544" width="14.25" style="3159" customWidth="1"/>
    <col min="1545" max="1545" width="15.875" style="3159" customWidth="1"/>
    <col min="1546" max="1546" width="12.625" style="3159" customWidth="1"/>
    <col min="1547" max="1547" width="11.25" style="3159" customWidth="1"/>
    <col min="1548" max="1548" width="13.25" style="3159" customWidth="1"/>
    <col min="1549" max="1549" width="13.625" style="3159" customWidth="1"/>
    <col min="1550" max="1550" width="13" style="3159" customWidth="1"/>
    <col min="1551" max="1551" width="20.375" style="3159" customWidth="1"/>
    <col min="1552" max="1552" width="21.5" style="3159" customWidth="1"/>
    <col min="1553" max="1553" width="18.25" style="3159" customWidth="1"/>
    <col min="1554" max="1554" width="8.75" style="3159" customWidth="1"/>
    <col min="1555" max="1555" width="2.75" style="3159" customWidth="1"/>
    <col min="1556" max="1556" width="21.25" style="3159" customWidth="1"/>
    <col min="1557" max="1557" width="20.75" style="3159" customWidth="1"/>
    <col min="1558" max="1792" width="9" style="3159"/>
    <col min="1793" max="1793" width="11.75" style="3159" customWidth="1"/>
    <col min="1794" max="1794" width="10.875" style="3159" customWidth="1"/>
    <col min="1795" max="1795" width="18" style="3159" customWidth="1"/>
    <col min="1796" max="1796" width="12.5" style="3159" customWidth="1"/>
    <col min="1797" max="1799" width="11.25" style="3159" customWidth="1"/>
    <col min="1800" max="1800" width="14.25" style="3159" customWidth="1"/>
    <col min="1801" max="1801" width="15.875" style="3159" customWidth="1"/>
    <col min="1802" max="1802" width="12.625" style="3159" customWidth="1"/>
    <col min="1803" max="1803" width="11.25" style="3159" customWidth="1"/>
    <col min="1804" max="1804" width="13.25" style="3159" customWidth="1"/>
    <col min="1805" max="1805" width="13.625" style="3159" customWidth="1"/>
    <col min="1806" max="1806" width="13" style="3159" customWidth="1"/>
    <col min="1807" max="1807" width="20.375" style="3159" customWidth="1"/>
    <col min="1808" max="1808" width="21.5" style="3159" customWidth="1"/>
    <col min="1809" max="1809" width="18.25" style="3159" customWidth="1"/>
    <col min="1810" max="1810" width="8.75" style="3159" customWidth="1"/>
    <col min="1811" max="1811" width="2.75" style="3159" customWidth="1"/>
    <col min="1812" max="1812" width="21.25" style="3159" customWidth="1"/>
    <col min="1813" max="1813" width="20.75" style="3159" customWidth="1"/>
    <col min="1814" max="2048" width="9" style="3159"/>
    <col min="2049" max="2049" width="11.75" style="3159" customWidth="1"/>
    <col min="2050" max="2050" width="10.875" style="3159" customWidth="1"/>
    <col min="2051" max="2051" width="18" style="3159" customWidth="1"/>
    <col min="2052" max="2052" width="12.5" style="3159" customWidth="1"/>
    <col min="2053" max="2055" width="11.25" style="3159" customWidth="1"/>
    <col min="2056" max="2056" width="14.25" style="3159" customWidth="1"/>
    <col min="2057" max="2057" width="15.875" style="3159" customWidth="1"/>
    <col min="2058" max="2058" width="12.625" style="3159" customWidth="1"/>
    <col min="2059" max="2059" width="11.25" style="3159" customWidth="1"/>
    <col min="2060" max="2060" width="13.25" style="3159" customWidth="1"/>
    <col min="2061" max="2061" width="13.625" style="3159" customWidth="1"/>
    <col min="2062" max="2062" width="13" style="3159" customWidth="1"/>
    <col min="2063" max="2063" width="20.375" style="3159" customWidth="1"/>
    <col min="2064" max="2064" width="21.5" style="3159" customWidth="1"/>
    <col min="2065" max="2065" width="18.25" style="3159" customWidth="1"/>
    <col min="2066" max="2066" width="8.75" style="3159" customWidth="1"/>
    <col min="2067" max="2067" width="2.75" style="3159" customWidth="1"/>
    <col min="2068" max="2068" width="21.25" style="3159" customWidth="1"/>
    <col min="2069" max="2069" width="20.75" style="3159" customWidth="1"/>
    <col min="2070" max="2304" width="9" style="3159"/>
    <col min="2305" max="2305" width="11.75" style="3159" customWidth="1"/>
    <col min="2306" max="2306" width="10.875" style="3159" customWidth="1"/>
    <col min="2307" max="2307" width="18" style="3159" customWidth="1"/>
    <col min="2308" max="2308" width="12.5" style="3159" customWidth="1"/>
    <col min="2309" max="2311" width="11.25" style="3159" customWidth="1"/>
    <col min="2312" max="2312" width="14.25" style="3159" customWidth="1"/>
    <col min="2313" max="2313" width="15.875" style="3159" customWidth="1"/>
    <col min="2314" max="2314" width="12.625" style="3159" customWidth="1"/>
    <col min="2315" max="2315" width="11.25" style="3159" customWidth="1"/>
    <col min="2316" max="2316" width="13.25" style="3159" customWidth="1"/>
    <col min="2317" max="2317" width="13.625" style="3159" customWidth="1"/>
    <col min="2318" max="2318" width="13" style="3159" customWidth="1"/>
    <col min="2319" max="2319" width="20.375" style="3159" customWidth="1"/>
    <col min="2320" max="2320" width="21.5" style="3159" customWidth="1"/>
    <col min="2321" max="2321" width="18.25" style="3159" customWidth="1"/>
    <col min="2322" max="2322" width="8.75" style="3159" customWidth="1"/>
    <col min="2323" max="2323" width="2.75" style="3159" customWidth="1"/>
    <col min="2324" max="2324" width="21.25" style="3159" customWidth="1"/>
    <col min="2325" max="2325" width="20.75" style="3159" customWidth="1"/>
    <col min="2326" max="2560" width="9" style="3159"/>
    <col min="2561" max="2561" width="11.75" style="3159" customWidth="1"/>
    <col min="2562" max="2562" width="10.875" style="3159" customWidth="1"/>
    <col min="2563" max="2563" width="18" style="3159" customWidth="1"/>
    <col min="2564" max="2564" width="12.5" style="3159" customWidth="1"/>
    <col min="2565" max="2567" width="11.25" style="3159" customWidth="1"/>
    <col min="2568" max="2568" width="14.25" style="3159" customWidth="1"/>
    <col min="2569" max="2569" width="15.875" style="3159" customWidth="1"/>
    <col min="2570" max="2570" width="12.625" style="3159" customWidth="1"/>
    <col min="2571" max="2571" width="11.25" style="3159" customWidth="1"/>
    <col min="2572" max="2572" width="13.25" style="3159" customWidth="1"/>
    <col min="2573" max="2573" width="13.625" style="3159" customWidth="1"/>
    <col min="2574" max="2574" width="13" style="3159" customWidth="1"/>
    <col min="2575" max="2575" width="20.375" style="3159" customWidth="1"/>
    <col min="2576" max="2576" width="21.5" style="3159" customWidth="1"/>
    <col min="2577" max="2577" width="18.25" style="3159" customWidth="1"/>
    <col min="2578" max="2578" width="8.75" style="3159" customWidth="1"/>
    <col min="2579" max="2579" width="2.75" style="3159" customWidth="1"/>
    <col min="2580" max="2580" width="21.25" style="3159" customWidth="1"/>
    <col min="2581" max="2581" width="20.75" style="3159" customWidth="1"/>
    <col min="2582" max="2816" width="9" style="3159"/>
    <col min="2817" max="2817" width="11.75" style="3159" customWidth="1"/>
    <col min="2818" max="2818" width="10.875" style="3159" customWidth="1"/>
    <col min="2819" max="2819" width="18" style="3159" customWidth="1"/>
    <col min="2820" max="2820" width="12.5" style="3159" customWidth="1"/>
    <col min="2821" max="2823" width="11.25" style="3159" customWidth="1"/>
    <col min="2824" max="2824" width="14.25" style="3159" customWidth="1"/>
    <col min="2825" max="2825" width="15.875" style="3159" customWidth="1"/>
    <col min="2826" max="2826" width="12.625" style="3159" customWidth="1"/>
    <col min="2827" max="2827" width="11.25" style="3159" customWidth="1"/>
    <col min="2828" max="2828" width="13.25" style="3159" customWidth="1"/>
    <col min="2829" max="2829" width="13.625" style="3159" customWidth="1"/>
    <col min="2830" max="2830" width="13" style="3159" customWidth="1"/>
    <col min="2831" max="2831" width="20.375" style="3159" customWidth="1"/>
    <col min="2832" max="2832" width="21.5" style="3159" customWidth="1"/>
    <col min="2833" max="2833" width="18.25" style="3159" customWidth="1"/>
    <col min="2834" max="2834" width="8.75" style="3159" customWidth="1"/>
    <col min="2835" max="2835" width="2.75" style="3159" customWidth="1"/>
    <col min="2836" max="2836" width="21.25" style="3159" customWidth="1"/>
    <col min="2837" max="2837" width="20.75" style="3159" customWidth="1"/>
    <col min="2838" max="3072" width="9" style="3159"/>
    <col min="3073" max="3073" width="11.75" style="3159" customWidth="1"/>
    <col min="3074" max="3074" width="10.875" style="3159" customWidth="1"/>
    <col min="3075" max="3075" width="18" style="3159" customWidth="1"/>
    <col min="3076" max="3076" width="12.5" style="3159" customWidth="1"/>
    <col min="3077" max="3079" width="11.25" style="3159" customWidth="1"/>
    <col min="3080" max="3080" width="14.25" style="3159" customWidth="1"/>
    <col min="3081" max="3081" width="15.875" style="3159" customWidth="1"/>
    <col min="3082" max="3082" width="12.625" style="3159" customWidth="1"/>
    <col min="3083" max="3083" width="11.25" style="3159" customWidth="1"/>
    <col min="3084" max="3084" width="13.25" style="3159" customWidth="1"/>
    <col min="3085" max="3085" width="13.625" style="3159" customWidth="1"/>
    <col min="3086" max="3086" width="13" style="3159" customWidth="1"/>
    <col min="3087" max="3087" width="20.375" style="3159" customWidth="1"/>
    <col min="3088" max="3088" width="21.5" style="3159" customWidth="1"/>
    <col min="3089" max="3089" width="18.25" style="3159" customWidth="1"/>
    <col min="3090" max="3090" width="8.75" style="3159" customWidth="1"/>
    <col min="3091" max="3091" width="2.75" style="3159" customWidth="1"/>
    <col min="3092" max="3092" width="21.25" style="3159" customWidth="1"/>
    <col min="3093" max="3093" width="20.75" style="3159" customWidth="1"/>
    <col min="3094" max="3328" width="9" style="3159"/>
    <col min="3329" max="3329" width="11.75" style="3159" customWidth="1"/>
    <col min="3330" max="3330" width="10.875" style="3159" customWidth="1"/>
    <col min="3331" max="3331" width="18" style="3159" customWidth="1"/>
    <col min="3332" max="3332" width="12.5" style="3159" customWidth="1"/>
    <col min="3333" max="3335" width="11.25" style="3159" customWidth="1"/>
    <col min="3336" max="3336" width="14.25" style="3159" customWidth="1"/>
    <col min="3337" max="3337" width="15.875" style="3159" customWidth="1"/>
    <col min="3338" max="3338" width="12.625" style="3159" customWidth="1"/>
    <col min="3339" max="3339" width="11.25" style="3159" customWidth="1"/>
    <col min="3340" max="3340" width="13.25" style="3159" customWidth="1"/>
    <col min="3341" max="3341" width="13.625" style="3159" customWidth="1"/>
    <col min="3342" max="3342" width="13" style="3159" customWidth="1"/>
    <col min="3343" max="3343" width="20.375" style="3159" customWidth="1"/>
    <col min="3344" max="3344" width="21.5" style="3159" customWidth="1"/>
    <col min="3345" max="3345" width="18.25" style="3159" customWidth="1"/>
    <col min="3346" max="3346" width="8.75" style="3159" customWidth="1"/>
    <col min="3347" max="3347" width="2.75" style="3159" customWidth="1"/>
    <col min="3348" max="3348" width="21.25" style="3159" customWidth="1"/>
    <col min="3349" max="3349" width="20.75" style="3159" customWidth="1"/>
    <col min="3350" max="3584" width="9" style="3159"/>
    <col min="3585" max="3585" width="11.75" style="3159" customWidth="1"/>
    <col min="3586" max="3586" width="10.875" style="3159" customWidth="1"/>
    <col min="3587" max="3587" width="18" style="3159" customWidth="1"/>
    <col min="3588" max="3588" width="12.5" style="3159" customWidth="1"/>
    <col min="3589" max="3591" width="11.25" style="3159" customWidth="1"/>
    <col min="3592" max="3592" width="14.25" style="3159" customWidth="1"/>
    <col min="3593" max="3593" width="15.875" style="3159" customWidth="1"/>
    <col min="3594" max="3594" width="12.625" style="3159" customWidth="1"/>
    <col min="3595" max="3595" width="11.25" style="3159" customWidth="1"/>
    <col min="3596" max="3596" width="13.25" style="3159" customWidth="1"/>
    <col min="3597" max="3597" width="13.625" style="3159" customWidth="1"/>
    <col min="3598" max="3598" width="13" style="3159" customWidth="1"/>
    <col min="3599" max="3599" width="20.375" style="3159" customWidth="1"/>
    <col min="3600" max="3600" width="21.5" style="3159" customWidth="1"/>
    <col min="3601" max="3601" width="18.25" style="3159" customWidth="1"/>
    <col min="3602" max="3602" width="8.75" style="3159" customWidth="1"/>
    <col min="3603" max="3603" width="2.75" style="3159" customWidth="1"/>
    <col min="3604" max="3604" width="21.25" style="3159" customWidth="1"/>
    <col min="3605" max="3605" width="20.75" style="3159" customWidth="1"/>
    <col min="3606" max="3840" width="9" style="3159"/>
    <col min="3841" max="3841" width="11.75" style="3159" customWidth="1"/>
    <col min="3842" max="3842" width="10.875" style="3159" customWidth="1"/>
    <col min="3843" max="3843" width="18" style="3159" customWidth="1"/>
    <col min="3844" max="3844" width="12.5" style="3159" customWidth="1"/>
    <col min="3845" max="3847" width="11.25" style="3159" customWidth="1"/>
    <col min="3848" max="3848" width="14.25" style="3159" customWidth="1"/>
    <col min="3849" max="3849" width="15.875" style="3159" customWidth="1"/>
    <col min="3850" max="3850" width="12.625" style="3159" customWidth="1"/>
    <col min="3851" max="3851" width="11.25" style="3159" customWidth="1"/>
    <col min="3852" max="3852" width="13.25" style="3159" customWidth="1"/>
    <col min="3853" max="3853" width="13.625" style="3159" customWidth="1"/>
    <col min="3854" max="3854" width="13" style="3159" customWidth="1"/>
    <col min="3855" max="3855" width="20.375" style="3159" customWidth="1"/>
    <col min="3856" max="3856" width="21.5" style="3159" customWidth="1"/>
    <col min="3857" max="3857" width="18.25" style="3159" customWidth="1"/>
    <col min="3858" max="3858" width="8.75" style="3159" customWidth="1"/>
    <col min="3859" max="3859" width="2.75" style="3159" customWidth="1"/>
    <col min="3860" max="3860" width="21.25" style="3159" customWidth="1"/>
    <col min="3861" max="3861" width="20.75" style="3159" customWidth="1"/>
    <col min="3862" max="4096" width="9" style="3159"/>
    <col min="4097" max="4097" width="11.75" style="3159" customWidth="1"/>
    <col min="4098" max="4098" width="10.875" style="3159" customWidth="1"/>
    <col min="4099" max="4099" width="18" style="3159" customWidth="1"/>
    <col min="4100" max="4100" width="12.5" style="3159" customWidth="1"/>
    <col min="4101" max="4103" width="11.25" style="3159" customWidth="1"/>
    <col min="4104" max="4104" width="14.25" style="3159" customWidth="1"/>
    <col min="4105" max="4105" width="15.875" style="3159" customWidth="1"/>
    <col min="4106" max="4106" width="12.625" style="3159" customWidth="1"/>
    <col min="4107" max="4107" width="11.25" style="3159" customWidth="1"/>
    <col min="4108" max="4108" width="13.25" style="3159" customWidth="1"/>
    <col min="4109" max="4109" width="13.625" style="3159" customWidth="1"/>
    <col min="4110" max="4110" width="13" style="3159" customWidth="1"/>
    <col min="4111" max="4111" width="20.375" style="3159" customWidth="1"/>
    <col min="4112" max="4112" width="21.5" style="3159" customWidth="1"/>
    <col min="4113" max="4113" width="18.25" style="3159" customWidth="1"/>
    <col min="4114" max="4114" width="8.75" style="3159" customWidth="1"/>
    <col min="4115" max="4115" width="2.75" style="3159" customWidth="1"/>
    <col min="4116" max="4116" width="21.25" style="3159" customWidth="1"/>
    <col min="4117" max="4117" width="20.75" style="3159" customWidth="1"/>
    <col min="4118" max="4352" width="9" style="3159"/>
    <col min="4353" max="4353" width="11.75" style="3159" customWidth="1"/>
    <col min="4354" max="4354" width="10.875" style="3159" customWidth="1"/>
    <col min="4355" max="4355" width="18" style="3159" customWidth="1"/>
    <col min="4356" max="4356" width="12.5" style="3159" customWidth="1"/>
    <col min="4357" max="4359" width="11.25" style="3159" customWidth="1"/>
    <col min="4360" max="4360" width="14.25" style="3159" customWidth="1"/>
    <col min="4361" max="4361" width="15.875" style="3159" customWidth="1"/>
    <col min="4362" max="4362" width="12.625" style="3159" customWidth="1"/>
    <col min="4363" max="4363" width="11.25" style="3159" customWidth="1"/>
    <col min="4364" max="4364" width="13.25" style="3159" customWidth="1"/>
    <col min="4365" max="4365" width="13.625" style="3159" customWidth="1"/>
    <col min="4366" max="4366" width="13" style="3159" customWidth="1"/>
    <col min="4367" max="4367" width="20.375" style="3159" customWidth="1"/>
    <col min="4368" max="4368" width="21.5" style="3159" customWidth="1"/>
    <col min="4369" max="4369" width="18.25" style="3159" customWidth="1"/>
    <col min="4370" max="4370" width="8.75" style="3159" customWidth="1"/>
    <col min="4371" max="4371" width="2.75" style="3159" customWidth="1"/>
    <col min="4372" max="4372" width="21.25" style="3159" customWidth="1"/>
    <col min="4373" max="4373" width="20.75" style="3159" customWidth="1"/>
    <col min="4374" max="4608" width="9" style="3159"/>
    <col min="4609" max="4609" width="11.75" style="3159" customWidth="1"/>
    <col min="4610" max="4610" width="10.875" style="3159" customWidth="1"/>
    <col min="4611" max="4611" width="18" style="3159" customWidth="1"/>
    <col min="4612" max="4612" width="12.5" style="3159" customWidth="1"/>
    <col min="4613" max="4615" width="11.25" style="3159" customWidth="1"/>
    <col min="4616" max="4616" width="14.25" style="3159" customWidth="1"/>
    <col min="4617" max="4617" width="15.875" style="3159" customWidth="1"/>
    <col min="4618" max="4618" width="12.625" style="3159" customWidth="1"/>
    <col min="4619" max="4619" width="11.25" style="3159" customWidth="1"/>
    <col min="4620" max="4620" width="13.25" style="3159" customWidth="1"/>
    <col min="4621" max="4621" width="13.625" style="3159" customWidth="1"/>
    <col min="4622" max="4622" width="13" style="3159" customWidth="1"/>
    <col min="4623" max="4623" width="20.375" style="3159" customWidth="1"/>
    <col min="4624" max="4624" width="21.5" style="3159" customWidth="1"/>
    <col min="4625" max="4625" width="18.25" style="3159" customWidth="1"/>
    <col min="4626" max="4626" width="8.75" style="3159" customWidth="1"/>
    <col min="4627" max="4627" width="2.75" style="3159" customWidth="1"/>
    <col min="4628" max="4628" width="21.25" style="3159" customWidth="1"/>
    <col min="4629" max="4629" width="20.75" style="3159" customWidth="1"/>
    <col min="4630" max="4864" width="9" style="3159"/>
    <col min="4865" max="4865" width="11.75" style="3159" customWidth="1"/>
    <col min="4866" max="4866" width="10.875" style="3159" customWidth="1"/>
    <col min="4867" max="4867" width="18" style="3159" customWidth="1"/>
    <col min="4868" max="4868" width="12.5" style="3159" customWidth="1"/>
    <col min="4869" max="4871" width="11.25" style="3159" customWidth="1"/>
    <col min="4872" max="4872" width="14.25" style="3159" customWidth="1"/>
    <col min="4873" max="4873" width="15.875" style="3159" customWidth="1"/>
    <col min="4874" max="4874" width="12.625" style="3159" customWidth="1"/>
    <col min="4875" max="4875" width="11.25" style="3159" customWidth="1"/>
    <col min="4876" max="4876" width="13.25" style="3159" customWidth="1"/>
    <col min="4877" max="4877" width="13.625" style="3159" customWidth="1"/>
    <col min="4878" max="4878" width="13" style="3159" customWidth="1"/>
    <col min="4879" max="4879" width="20.375" style="3159" customWidth="1"/>
    <col min="4880" max="4880" width="21.5" style="3159" customWidth="1"/>
    <col min="4881" max="4881" width="18.25" style="3159" customWidth="1"/>
    <col min="4882" max="4882" width="8.75" style="3159" customWidth="1"/>
    <col min="4883" max="4883" width="2.75" style="3159" customWidth="1"/>
    <col min="4884" max="4884" width="21.25" style="3159" customWidth="1"/>
    <col min="4885" max="4885" width="20.75" style="3159" customWidth="1"/>
    <col min="4886" max="5120" width="9" style="3159"/>
    <col min="5121" max="5121" width="11.75" style="3159" customWidth="1"/>
    <col min="5122" max="5122" width="10.875" style="3159" customWidth="1"/>
    <col min="5123" max="5123" width="18" style="3159" customWidth="1"/>
    <col min="5124" max="5124" width="12.5" style="3159" customWidth="1"/>
    <col min="5125" max="5127" width="11.25" style="3159" customWidth="1"/>
    <col min="5128" max="5128" width="14.25" style="3159" customWidth="1"/>
    <col min="5129" max="5129" width="15.875" style="3159" customWidth="1"/>
    <col min="5130" max="5130" width="12.625" style="3159" customWidth="1"/>
    <col min="5131" max="5131" width="11.25" style="3159" customWidth="1"/>
    <col min="5132" max="5132" width="13.25" style="3159" customWidth="1"/>
    <col min="5133" max="5133" width="13.625" style="3159" customWidth="1"/>
    <col min="5134" max="5134" width="13" style="3159" customWidth="1"/>
    <col min="5135" max="5135" width="20.375" style="3159" customWidth="1"/>
    <col min="5136" max="5136" width="21.5" style="3159" customWidth="1"/>
    <col min="5137" max="5137" width="18.25" style="3159" customWidth="1"/>
    <col min="5138" max="5138" width="8.75" style="3159" customWidth="1"/>
    <col min="5139" max="5139" width="2.75" style="3159" customWidth="1"/>
    <col min="5140" max="5140" width="21.25" style="3159" customWidth="1"/>
    <col min="5141" max="5141" width="20.75" style="3159" customWidth="1"/>
    <col min="5142" max="5376" width="9" style="3159"/>
    <col min="5377" max="5377" width="11.75" style="3159" customWidth="1"/>
    <col min="5378" max="5378" width="10.875" style="3159" customWidth="1"/>
    <col min="5379" max="5379" width="18" style="3159" customWidth="1"/>
    <col min="5380" max="5380" width="12.5" style="3159" customWidth="1"/>
    <col min="5381" max="5383" width="11.25" style="3159" customWidth="1"/>
    <col min="5384" max="5384" width="14.25" style="3159" customWidth="1"/>
    <col min="5385" max="5385" width="15.875" style="3159" customWidth="1"/>
    <col min="5386" max="5386" width="12.625" style="3159" customWidth="1"/>
    <col min="5387" max="5387" width="11.25" style="3159" customWidth="1"/>
    <col min="5388" max="5388" width="13.25" style="3159" customWidth="1"/>
    <col min="5389" max="5389" width="13.625" style="3159" customWidth="1"/>
    <col min="5390" max="5390" width="13" style="3159" customWidth="1"/>
    <col min="5391" max="5391" width="20.375" style="3159" customWidth="1"/>
    <col min="5392" max="5392" width="21.5" style="3159" customWidth="1"/>
    <col min="5393" max="5393" width="18.25" style="3159" customWidth="1"/>
    <col min="5394" max="5394" width="8.75" style="3159" customWidth="1"/>
    <col min="5395" max="5395" width="2.75" style="3159" customWidth="1"/>
    <col min="5396" max="5396" width="21.25" style="3159" customWidth="1"/>
    <col min="5397" max="5397" width="20.75" style="3159" customWidth="1"/>
    <col min="5398" max="5632" width="9" style="3159"/>
    <col min="5633" max="5633" width="11.75" style="3159" customWidth="1"/>
    <col min="5634" max="5634" width="10.875" style="3159" customWidth="1"/>
    <col min="5635" max="5635" width="18" style="3159" customWidth="1"/>
    <col min="5636" max="5636" width="12.5" style="3159" customWidth="1"/>
    <col min="5637" max="5639" width="11.25" style="3159" customWidth="1"/>
    <col min="5640" max="5640" width="14.25" style="3159" customWidth="1"/>
    <col min="5641" max="5641" width="15.875" style="3159" customWidth="1"/>
    <col min="5642" max="5642" width="12.625" style="3159" customWidth="1"/>
    <col min="5643" max="5643" width="11.25" style="3159" customWidth="1"/>
    <col min="5644" max="5644" width="13.25" style="3159" customWidth="1"/>
    <col min="5645" max="5645" width="13.625" style="3159" customWidth="1"/>
    <col min="5646" max="5646" width="13" style="3159" customWidth="1"/>
    <col min="5647" max="5647" width="20.375" style="3159" customWidth="1"/>
    <col min="5648" max="5648" width="21.5" style="3159" customWidth="1"/>
    <col min="5649" max="5649" width="18.25" style="3159" customWidth="1"/>
    <col min="5650" max="5650" width="8.75" style="3159" customWidth="1"/>
    <col min="5651" max="5651" width="2.75" style="3159" customWidth="1"/>
    <col min="5652" max="5652" width="21.25" style="3159" customWidth="1"/>
    <col min="5653" max="5653" width="20.75" style="3159" customWidth="1"/>
    <col min="5654" max="5888" width="9" style="3159"/>
    <col min="5889" max="5889" width="11.75" style="3159" customWidth="1"/>
    <col min="5890" max="5890" width="10.875" style="3159" customWidth="1"/>
    <col min="5891" max="5891" width="18" style="3159" customWidth="1"/>
    <col min="5892" max="5892" width="12.5" style="3159" customWidth="1"/>
    <col min="5893" max="5895" width="11.25" style="3159" customWidth="1"/>
    <col min="5896" max="5896" width="14.25" style="3159" customWidth="1"/>
    <col min="5897" max="5897" width="15.875" style="3159" customWidth="1"/>
    <col min="5898" max="5898" width="12.625" style="3159" customWidth="1"/>
    <col min="5899" max="5899" width="11.25" style="3159" customWidth="1"/>
    <col min="5900" max="5900" width="13.25" style="3159" customWidth="1"/>
    <col min="5901" max="5901" width="13.625" style="3159" customWidth="1"/>
    <col min="5902" max="5902" width="13" style="3159" customWidth="1"/>
    <col min="5903" max="5903" width="20.375" style="3159" customWidth="1"/>
    <col min="5904" max="5904" width="21.5" style="3159" customWidth="1"/>
    <col min="5905" max="5905" width="18.25" style="3159" customWidth="1"/>
    <col min="5906" max="5906" width="8.75" style="3159" customWidth="1"/>
    <col min="5907" max="5907" width="2.75" style="3159" customWidth="1"/>
    <col min="5908" max="5908" width="21.25" style="3159" customWidth="1"/>
    <col min="5909" max="5909" width="20.75" style="3159" customWidth="1"/>
    <col min="5910" max="6144" width="9" style="3159"/>
    <col min="6145" max="6145" width="11.75" style="3159" customWidth="1"/>
    <col min="6146" max="6146" width="10.875" style="3159" customWidth="1"/>
    <col min="6147" max="6147" width="18" style="3159" customWidth="1"/>
    <col min="6148" max="6148" width="12.5" style="3159" customWidth="1"/>
    <col min="6149" max="6151" width="11.25" style="3159" customWidth="1"/>
    <col min="6152" max="6152" width="14.25" style="3159" customWidth="1"/>
    <col min="6153" max="6153" width="15.875" style="3159" customWidth="1"/>
    <col min="6154" max="6154" width="12.625" style="3159" customWidth="1"/>
    <col min="6155" max="6155" width="11.25" style="3159" customWidth="1"/>
    <col min="6156" max="6156" width="13.25" style="3159" customWidth="1"/>
    <col min="6157" max="6157" width="13.625" style="3159" customWidth="1"/>
    <col min="6158" max="6158" width="13" style="3159" customWidth="1"/>
    <col min="6159" max="6159" width="20.375" style="3159" customWidth="1"/>
    <col min="6160" max="6160" width="21.5" style="3159" customWidth="1"/>
    <col min="6161" max="6161" width="18.25" style="3159" customWidth="1"/>
    <col min="6162" max="6162" width="8.75" style="3159" customWidth="1"/>
    <col min="6163" max="6163" width="2.75" style="3159" customWidth="1"/>
    <col min="6164" max="6164" width="21.25" style="3159" customWidth="1"/>
    <col min="6165" max="6165" width="20.75" style="3159" customWidth="1"/>
    <col min="6166" max="6400" width="9" style="3159"/>
    <col min="6401" max="6401" width="11.75" style="3159" customWidth="1"/>
    <col min="6402" max="6402" width="10.875" style="3159" customWidth="1"/>
    <col min="6403" max="6403" width="18" style="3159" customWidth="1"/>
    <col min="6404" max="6404" width="12.5" style="3159" customWidth="1"/>
    <col min="6405" max="6407" width="11.25" style="3159" customWidth="1"/>
    <col min="6408" max="6408" width="14.25" style="3159" customWidth="1"/>
    <col min="6409" max="6409" width="15.875" style="3159" customWidth="1"/>
    <col min="6410" max="6410" width="12.625" style="3159" customWidth="1"/>
    <col min="6411" max="6411" width="11.25" style="3159" customWidth="1"/>
    <col min="6412" max="6412" width="13.25" style="3159" customWidth="1"/>
    <col min="6413" max="6413" width="13.625" style="3159" customWidth="1"/>
    <col min="6414" max="6414" width="13" style="3159" customWidth="1"/>
    <col min="6415" max="6415" width="20.375" style="3159" customWidth="1"/>
    <col min="6416" max="6416" width="21.5" style="3159" customWidth="1"/>
    <col min="6417" max="6417" width="18.25" style="3159" customWidth="1"/>
    <col min="6418" max="6418" width="8.75" style="3159" customWidth="1"/>
    <col min="6419" max="6419" width="2.75" style="3159" customWidth="1"/>
    <col min="6420" max="6420" width="21.25" style="3159" customWidth="1"/>
    <col min="6421" max="6421" width="20.75" style="3159" customWidth="1"/>
    <col min="6422" max="6656" width="9" style="3159"/>
    <col min="6657" max="6657" width="11.75" style="3159" customWidth="1"/>
    <col min="6658" max="6658" width="10.875" style="3159" customWidth="1"/>
    <col min="6659" max="6659" width="18" style="3159" customWidth="1"/>
    <col min="6660" max="6660" width="12.5" style="3159" customWidth="1"/>
    <col min="6661" max="6663" width="11.25" style="3159" customWidth="1"/>
    <col min="6664" max="6664" width="14.25" style="3159" customWidth="1"/>
    <col min="6665" max="6665" width="15.875" style="3159" customWidth="1"/>
    <col min="6666" max="6666" width="12.625" style="3159" customWidth="1"/>
    <col min="6667" max="6667" width="11.25" style="3159" customWidth="1"/>
    <col min="6668" max="6668" width="13.25" style="3159" customWidth="1"/>
    <col min="6669" max="6669" width="13.625" style="3159" customWidth="1"/>
    <col min="6670" max="6670" width="13" style="3159" customWidth="1"/>
    <col min="6671" max="6671" width="20.375" style="3159" customWidth="1"/>
    <col min="6672" max="6672" width="21.5" style="3159" customWidth="1"/>
    <col min="6673" max="6673" width="18.25" style="3159" customWidth="1"/>
    <col min="6674" max="6674" width="8.75" style="3159" customWidth="1"/>
    <col min="6675" max="6675" width="2.75" style="3159" customWidth="1"/>
    <col min="6676" max="6676" width="21.25" style="3159" customWidth="1"/>
    <col min="6677" max="6677" width="20.75" style="3159" customWidth="1"/>
    <col min="6678" max="6912" width="9" style="3159"/>
    <col min="6913" max="6913" width="11.75" style="3159" customWidth="1"/>
    <col min="6914" max="6914" width="10.875" style="3159" customWidth="1"/>
    <col min="6915" max="6915" width="18" style="3159" customWidth="1"/>
    <col min="6916" max="6916" width="12.5" style="3159" customWidth="1"/>
    <col min="6917" max="6919" width="11.25" style="3159" customWidth="1"/>
    <col min="6920" max="6920" width="14.25" style="3159" customWidth="1"/>
    <col min="6921" max="6921" width="15.875" style="3159" customWidth="1"/>
    <col min="6922" max="6922" width="12.625" style="3159" customWidth="1"/>
    <col min="6923" max="6923" width="11.25" style="3159" customWidth="1"/>
    <col min="6924" max="6924" width="13.25" style="3159" customWidth="1"/>
    <col min="6925" max="6925" width="13.625" style="3159" customWidth="1"/>
    <col min="6926" max="6926" width="13" style="3159" customWidth="1"/>
    <col min="6927" max="6927" width="20.375" style="3159" customWidth="1"/>
    <col min="6928" max="6928" width="21.5" style="3159" customWidth="1"/>
    <col min="6929" max="6929" width="18.25" style="3159" customWidth="1"/>
    <col min="6930" max="6930" width="8.75" style="3159" customWidth="1"/>
    <col min="6931" max="6931" width="2.75" style="3159" customWidth="1"/>
    <col min="6932" max="6932" width="21.25" style="3159" customWidth="1"/>
    <col min="6933" max="6933" width="20.75" style="3159" customWidth="1"/>
    <col min="6934" max="7168" width="9" style="3159"/>
    <col min="7169" max="7169" width="11.75" style="3159" customWidth="1"/>
    <col min="7170" max="7170" width="10.875" style="3159" customWidth="1"/>
    <col min="7171" max="7171" width="18" style="3159" customWidth="1"/>
    <col min="7172" max="7172" width="12.5" style="3159" customWidth="1"/>
    <col min="7173" max="7175" width="11.25" style="3159" customWidth="1"/>
    <col min="7176" max="7176" width="14.25" style="3159" customWidth="1"/>
    <col min="7177" max="7177" width="15.875" style="3159" customWidth="1"/>
    <col min="7178" max="7178" width="12.625" style="3159" customWidth="1"/>
    <col min="7179" max="7179" width="11.25" style="3159" customWidth="1"/>
    <col min="7180" max="7180" width="13.25" style="3159" customWidth="1"/>
    <col min="7181" max="7181" width="13.625" style="3159" customWidth="1"/>
    <col min="7182" max="7182" width="13" style="3159" customWidth="1"/>
    <col min="7183" max="7183" width="20.375" style="3159" customWidth="1"/>
    <col min="7184" max="7184" width="21.5" style="3159" customWidth="1"/>
    <col min="7185" max="7185" width="18.25" style="3159" customWidth="1"/>
    <col min="7186" max="7186" width="8.75" style="3159" customWidth="1"/>
    <col min="7187" max="7187" width="2.75" style="3159" customWidth="1"/>
    <col min="7188" max="7188" width="21.25" style="3159" customWidth="1"/>
    <col min="7189" max="7189" width="20.75" style="3159" customWidth="1"/>
    <col min="7190" max="7424" width="9" style="3159"/>
    <col min="7425" max="7425" width="11.75" style="3159" customWidth="1"/>
    <col min="7426" max="7426" width="10.875" style="3159" customWidth="1"/>
    <col min="7427" max="7427" width="18" style="3159" customWidth="1"/>
    <col min="7428" max="7428" width="12.5" style="3159" customWidth="1"/>
    <col min="7429" max="7431" width="11.25" style="3159" customWidth="1"/>
    <col min="7432" max="7432" width="14.25" style="3159" customWidth="1"/>
    <col min="7433" max="7433" width="15.875" style="3159" customWidth="1"/>
    <col min="7434" max="7434" width="12.625" style="3159" customWidth="1"/>
    <col min="7435" max="7435" width="11.25" style="3159" customWidth="1"/>
    <col min="7436" max="7436" width="13.25" style="3159" customWidth="1"/>
    <col min="7437" max="7437" width="13.625" style="3159" customWidth="1"/>
    <col min="7438" max="7438" width="13" style="3159" customWidth="1"/>
    <col min="7439" max="7439" width="20.375" style="3159" customWidth="1"/>
    <col min="7440" max="7440" width="21.5" style="3159" customWidth="1"/>
    <col min="7441" max="7441" width="18.25" style="3159" customWidth="1"/>
    <col min="7442" max="7442" width="8.75" style="3159" customWidth="1"/>
    <col min="7443" max="7443" width="2.75" style="3159" customWidth="1"/>
    <col min="7444" max="7444" width="21.25" style="3159" customWidth="1"/>
    <col min="7445" max="7445" width="20.75" style="3159" customWidth="1"/>
    <col min="7446" max="7680" width="9" style="3159"/>
    <col min="7681" max="7681" width="11.75" style="3159" customWidth="1"/>
    <col min="7682" max="7682" width="10.875" style="3159" customWidth="1"/>
    <col min="7683" max="7683" width="18" style="3159" customWidth="1"/>
    <col min="7684" max="7684" width="12.5" style="3159" customWidth="1"/>
    <col min="7685" max="7687" width="11.25" style="3159" customWidth="1"/>
    <col min="7688" max="7688" width="14.25" style="3159" customWidth="1"/>
    <col min="7689" max="7689" width="15.875" style="3159" customWidth="1"/>
    <col min="7690" max="7690" width="12.625" style="3159" customWidth="1"/>
    <col min="7691" max="7691" width="11.25" style="3159" customWidth="1"/>
    <col min="7692" max="7692" width="13.25" style="3159" customWidth="1"/>
    <col min="7693" max="7693" width="13.625" style="3159" customWidth="1"/>
    <col min="7694" max="7694" width="13" style="3159" customWidth="1"/>
    <col min="7695" max="7695" width="20.375" style="3159" customWidth="1"/>
    <col min="7696" max="7696" width="21.5" style="3159" customWidth="1"/>
    <col min="7697" max="7697" width="18.25" style="3159" customWidth="1"/>
    <col min="7698" max="7698" width="8.75" style="3159" customWidth="1"/>
    <col min="7699" max="7699" width="2.75" style="3159" customWidth="1"/>
    <col min="7700" max="7700" width="21.25" style="3159" customWidth="1"/>
    <col min="7701" max="7701" width="20.75" style="3159" customWidth="1"/>
    <col min="7702" max="7936" width="9" style="3159"/>
    <col min="7937" max="7937" width="11.75" style="3159" customWidth="1"/>
    <col min="7938" max="7938" width="10.875" style="3159" customWidth="1"/>
    <col min="7939" max="7939" width="18" style="3159" customWidth="1"/>
    <col min="7940" max="7940" width="12.5" style="3159" customWidth="1"/>
    <col min="7941" max="7943" width="11.25" style="3159" customWidth="1"/>
    <col min="7944" max="7944" width="14.25" style="3159" customWidth="1"/>
    <col min="7945" max="7945" width="15.875" style="3159" customWidth="1"/>
    <col min="7946" max="7946" width="12.625" style="3159" customWidth="1"/>
    <col min="7947" max="7947" width="11.25" style="3159" customWidth="1"/>
    <col min="7948" max="7948" width="13.25" style="3159" customWidth="1"/>
    <col min="7949" max="7949" width="13.625" style="3159" customWidth="1"/>
    <col min="7950" max="7950" width="13" style="3159" customWidth="1"/>
    <col min="7951" max="7951" width="20.375" style="3159" customWidth="1"/>
    <col min="7952" max="7952" width="21.5" style="3159" customWidth="1"/>
    <col min="7953" max="7953" width="18.25" style="3159" customWidth="1"/>
    <col min="7954" max="7954" width="8.75" style="3159" customWidth="1"/>
    <col min="7955" max="7955" width="2.75" style="3159" customWidth="1"/>
    <col min="7956" max="7956" width="21.25" style="3159" customWidth="1"/>
    <col min="7957" max="7957" width="20.75" style="3159" customWidth="1"/>
    <col min="7958" max="8192" width="9" style="3159"/>
    <col min="8193" max="8193" width="11.75" style="3159" customWidth="1"/>
    <col min="8194" max="8194" width="10.875" style="3159" customWidth="1"/>
    <col min="8195" max="8195" width="18" style="3159" customWidth="1"/>
    <col min="8196" max="8196" width="12.5" style="3159" customWidth="1"/>
    <col min="8197" max="8199" width="11.25" style="3159" customWidth="1"/>
    <col min="8200" max="8200" width="14.25" style="3159" customWidth="1"/>
    <col min="8201" max="8201" width="15.875" style="3159" customWidth="1"/>
    <col min="8202" max="8202" width="12.625" style="3159" customWidth="1"/>
    <col min="8203" max="8203" width="11.25" style="3159" customWidth="1"/>
    <col min="8204" max="8204" width="13.25" style="3159" customWidth="1"/>
    <col min="8205" max="8205" width="13.625" style="3159" customWidth="1"/>
    <col min="8206" max="8206" width="13" style="3159" customWidth="1"/>
    <col min="8207" max="8207" width="20.375" style="3159" customWidth="1"/>
    <col min="8208" max="8208" width="21.5" style="3159" customWidth="1"/>
    <col min="8209" max="8209" width="18.25" style="3159" customWidth="1"/>
    <col min="8210" max="8210" width="8.75" style="3159" customWidth="1"/>
    <col min="8211" max="8211" width="2.75" style="3159" customWidth="1"/>
    <col min="8212" max="8212" width="21.25" style="3159" customWidth="1"/>
    <col min="8213" max="8213" width="20.75" style="3159" customWidth="1"/>
    <col min="8214" max="8448" width="9" style="3159"/>
    <col min="8449" max="8449" width="11.75" style="3159" customWidth="1"/>
    <col min="8450" max="8450" width="10.875" style="3159" customWidth="1"/>
    <col min="8451" max="8451" width="18" style="3159" customWidth="1"/>
    <col min="8452" max="8452" width="12.5" style="3159" customWidth="1"/>
    <col min="8453" max="8455" width="11.25" style="3159" customWidth="1"/>
    <col min="8456" max="8456" width="14.25" style="3159" customWidth="1"/>
    <col min="8457" max="8457" width="15.875" style="3159" customWidth="1"/>
    <col min="8458" max="8458" width="12.625" style="3159" customWidth="1"/>
    <col min="8459" max="8459" width="11.25" style="3159" customWidth="1"/>
    <col min="8460" max="8460" width="13.25" style="3159" customWidth="1"/>
    <col min="8461" max="8461" width="13.625" style="3159" customWidth="1"/>
    <col min="8462" max="8462" width="13" style="3159" customWidth="1"/>
    <col min="8463" max="8463" width="20.375" style="3159" customWidth="1"/>
    <col min="8464" max="8464" width="21.5" style="3159" customWidth="1"/>
    <col min="8465" max="8465" width="18.25" style="3159" customWidth="1"/>
    <col min="8466" max="8466" width="8.75" style="3159" customWidth="1"/>
    <col min="8467" max="8467" width="2.75" style="3159" customWidth="1"/>
    <col min="8468" max="8468" width="21.25" style="3159" customWidth="1"/>
    <col min="8469" max="8469" width="20.75" style="3159" customWidth="1"/>
    <col min="8470" max="8704" width="9" style="3159"/>
    <col min="8705" max="8705" width="11.75" style="3159" customWidth="1"/>
    <col min="8706" max="8706" width="10.875" style="3159" customWidth="1"/>
    <col min="8707" max="8707" width="18" style="3159" customWidth="1"/>
    <col min="8708" max="8708" width="12.5" style="3159" customWidth="1"/>
    <col min="8709" max="8711" width="11.25" style="3159" customWidth="1"/>
    <col min="8712" max="8712" width="14.25" style="3159" customWidth="1"/>
    <col min="8713" max="8713" width="15.875" style="3159" customWidth="1"/>
    <col min="8714" max="8714" width="12.625" style="3159" customWidth="1"/>
    <col min="8715" max="8715" width="11.25" style="3159" customWidth="1"/>
    <col min="8716" max="8716" width="13.25" style="3159" customWidth="1"/>
    <col min="8717" max="8717" width="13.625" style="3159" customWidth="1"/>
    <col min="8718" max="8718" width="13" style="3159" customWidth="1"/>
    <col min="8719" max="8719" width="20.375" style="3159" customWidth="1"/>
    <col min="8720" max="8720" width="21.5" style="3159" customWidth="1"/>
    <col min="8721" max="8721" width="18.25" style="3159" customWidth="1"/>
    <col min="8722" max="8722" width="8.75" style="3159" customWidth="1"/>
    <col min="8723" max="8723" width="2.75" style="3159" customWidth="1"/>
    <col min="8724" max="8724" width="21.25" style="3159" customWidth="1"/>
    <col min="8725" max="8725" width="20.75" style="3159" customWidth="1"/>
    <col min="8726" max="8960" width="9" style="3159"/>
    <col min="8961" max="8961" width="11.75" style="3159" customWidth="1"/>
    <col min="8962" max="8962" width="10.875" style="3159" customWidth="1"/>
    <col min="8963" max="8963" width="18" style="3159" customWidth="1"/>
    <col min="8964" max="8964" width="12.5" style="3159" customWidth="1"/>
    <col min="8965" max="8967" width="11.25" style="3159" customWidth="1"/>
    <col min="8968" max="8968" width="14.25" style="3159" customWidth="1"/>
    <col min="8969" max="8969" width="15.875" style="3159" customWidth="1"/>
    <col min="8970" max="8970" width="12.625" style="3159" customWidth="1"/>
    <col min="8971" max="8971" width="11.25" style="3159" customWidth="1"/>
    <col min="8972" max="8972" width="13.25" style="3159" customWidth="1"/>
    <col min="8973" max="8973" width="13.625" style="3159" customWidth="1"/>
    <col min="8974" max="8974" width="13" style="3159" customWidth="1"/>
    <col min="8975" max="8975" width="20.375" style="3159" customWidth="1"/>
    <col min="8976" max="8976" width="21.5" style="3159" customWidth="1"/>
    <col min="8977" max="8977" width="18.25" style="3159" customWidth="1"/>
    <col min="8978" max="8978" width="8.75" style="3159" customWidth="1"/>
    <col min="8979" max="8979" width="2.75" style="3159" customWidth="1"/>
    <col min="8980" max="8980" width="21.25" style="3159" customWidth="1"/>
    <col min="8981" max="8981" width="20.75" style="3159" customWidth="1"/>
    <col min="8982" max="9216" width="9" style="3159"/>
    <col min="9217" max="9217" width="11.75" style="3159" customWidth="1"/>
    <col min="9218" max="9218" width="10.875" style="3159" customWidth="1"/>
    <col min="9219" max="9219" width="18" style="3159" customWidth="1"/>
    <col min="9220" max="9220" width="12.5" style="3159" customWidth="1"/>
    <col min="9221" max="9223" width="11.25" style="3159" customWidth="1"/>
    <col min="9224" max="9224" width="14.25" style="3159" customWidth="1"/>
    <col min="9225" max="9225" width="15.875" style="3159" customWidth="1"/>
    <col min="9226" max="9226" width="12.625" style="3159" customWidth="1"/>
    <col min="9227" max="9227" width="11.25" style="3159" customWidth="1"/>
    <col min="9228" max="9228" width="13.25" style="3159" customWidth="1"/>
    <col min="9229" max="9229" width="13.625" style="3159" customWidth="1"/>
    <col min="9230" max="9230" width="13" style="3159" customWidth="1"/>
    <col min="9231" max="9231" width="20.375" style="3159" customWidth="1"/>
    <col min="9232" max="9232" width="21.5" style="3159" customWidth="1"/>
    <col min="9233" max="9233" width="18.25" style="3159" customWidth="1"/>
    <col min="9234" max="9234" width="8.75" style="3159" customWidth="1"/>
    <col min="9235" max="9235" width="2.75" style="3159" customWidth="1"/>
    <col min="9236" max="9236" width="21.25" style="3159" customWidth="1"/>
    <col min="9237" max="9237" width="20.75" style="3159" customWidth="1"/>
    <col min="9238" max="9472" width="9" style="3159"/>
    <col min="9473" max="9473" width="11.75" style="3159" customWidth="1"/>
    <col min="9474" max="9474" width="10.875" style="3159" customWidth="1"/>
    <col min="9475" max="9475" width="18" style="3159" customWidth="1"/>
    <col min="9476" max="9476" width="12.5" style="3159" customWidth="1"/>
    <col min="9477" max="9479" width="11.25" style="3159" customWidth="1"/>
    <col min="9480" max="9480" width="14.25" style="3159" customWidth="1"/>
    <col min="9481" max="9481" width="15.875" style="3159" customWidth="1"/>
    <col min="9482" max="9482" width="12.625" style="3159" customWidth="1"/>
    <col min="9483" max="9483" width="11.25" style="3159" customWidth="1"/>
    <col min="9484" max="9484" width="13.25" style="3159" customWidth="1"/>
    <col min="9485" max="9485" width="13.625" style="3159" customWidth="1"/>
    <col min="9486" max="9486" width="13" style="3159" customWidth="1"/>
    <col min="9487" max="9487" width="20.375" style="3159" customWidth="1"/>
    <col min="9488" max="9488" width="21.5" style="3159" customWidth="1"/>
    <col min="9489" max="9489" width="18.25" style="3159" customWidth="1"/>
    <col min="9490" max="9490" width="8.75" style="3159" customWidth="1"/>
    <col min="9491" max="9491" width="2.75" style="3159" customWidth="1"/>
    <col min="9492" max="9492" width="21.25" style="3159" customWidth="1"/>
    <col min="9493" max="9493" width="20.75" style="3159" customWidth="1"/>
    <col min="9494" max="9728" width="9" style="3159"/>
    <col min="9729" max="9729" width="11.75" style="3159" customWidth="1"/>
    <col min="9730" max="9730" width="10.875" style="3159" customWidth="1"/>
    <col min="9731" max="9731" width="18" style="3159" customWidth="1"/>
    <col min="9732" max="9732" width="12.5" style="3159" customWidth="1"/>
    <col min="9733" max="9735" width="11.25" style="3159" customWidth="1"/>
    <col min="9736" max="9736" width="14.25" style="3159" customWidth="1"/>
    <col min="9737" max="9737" width="15.875" style="3159" customWidth="1"/>
    <col min="9738" max="9738" width="12.625" style="3159" customWidth="1"/>
    <col min="9739" max="9739" width="11.25" style="3159" customWidth="1"/>
    <col min="9740" max="9740" width="13.25" style="3159" customWidth="1"/>
    <col min="9741" max="9741" width="13.625" style="3159" customWidth="1"/>
    <col min="9742" max="9742" width="13" style="3159" customWidth="1"/>
    <col min="9743" max="9743" width="20.375" style="3159" customWidth="1"/>
    <col min="9744" max="9744" width="21.5" style="3159" customWidth="1"/>
    <col min="9745" max="9745" width="18.25" style="3159" customWidth="1"/>
    <col min="9746" max="9746" width="8.75" style="3159" customWidth="1"/>
    <col min="9747" max="9747" width="2.75" style="3159" customWidth="1"/>
    <col min="9748" max="9748" width="21.25" style="3159" customWidth="1"/>
    <col min="9749" max="9749" width="20.75" style="3159" customWidth="1"/>
    <col min="9750" max="9984" width="9" style="3159"/>
    <col min="9985" max="9985" width="11.75" style="3159" customWidth="1"/>
    <col min="9986" max="9986" width="10.875" style="3159" customWidth="1"/>
    <col min="9987" max="9987" width="18" style="3159" customWidth="1"/>
    <col min="9988" max="9988" width="12.5" style="3159" customWidth="1"/>
    <col min="9989" max="9991" width="11.25" style="3159" customWidth="1"/>
    <col min="9992" max="9992" width="14.25" style="3159" customWidth="1"/>
    <col min="9993" max="9993" width="15.875" style="3159" customWidth="1"/>
    <col min="9994" max="9994" width="12.625" style="3159" customWidth="1"/>
    <col min="9995" max="9995" width="11.25" style="3159" customWidth="1"/>
    <col min="9996" max="9996" width="13.25" style="3159" customWidth="1"/>
    <col min="9997" max="9997" width="13.625" style="3159" customWidth="1"/>
    <col min="9998" max="9998" width="13" style="3159" customWidth="1"/>
    <col min="9999" max="9999" width="20.375" style="3159" customWidth="1"/>
    <col min="10000" max="10000" width="21.5" style="3159" customWidth="1"/>
    <col min="10001" max="10001" width="18.25" style="3159" customWidth="1"/>
    <col min="10002" max="10002" width="8.75" style="3159" customWidth="1"/>
    <col min="10003" max="10003" width="2.75" style="3159" customWidth="1"/>
    <col min="10004" max="10004" width="21.25" style="3159" customWidth="1"/>
    <col min="10005" max="10005" width="20.75" style="3159" customWidth="1"/>
    <col min="10006" max="10240" width="9" style="3159"/>
    <col min="10241" max="10241" width="11.75" style="3159" customWidth="1"/>
    <col min="10242" max="10242" width="10.875" style="3159" customWidth="1"/>
    <col min="10243" max="10243" width="18" style="3159" customWidth="1"/>
    <col min="10244" max="10244" width="12.5" style="3159" customWidth="1"/>
    <col min="10245" max="10247" width="11.25" style="3159" customWidth="1"/>
    <col min="10248" max="10248" width="14.25" style="3159" customWidth="1"/>
    <col min="10249" max="10249" width="15.875" style="3159" customWidth="1"/>
    <col min="10250" max="10250" width="12.625" style="3159" customWidth="1"/>
    <col min="10251" max="10251" width="11.25" style="3159" customWidth="1"/>
    <col min="10252" max="10252" width="13.25" style="3159" customWidth="1"/>
    <col min="10253" max="10253" width="13.625" style="3159" customWidth="1"/>
    <col min="10254" max="10254" width="13" style="3159" customWidth="1"/>
    <col min="10255" max="10255" width="20.375" style="3159" customWidth="1"/>
    <col min="10256" max="10256" width="21.5" style="3159" customWidth="1"/>
    <col min="10257" max="10257" width="18.25" style="3159" customWidth="1"/>
    <col min="10258" max="10258" width="8.75" style="3159" customWidth="1"/>
    <col min="10259" max="10259" width="2.75" style="3159" customWidth="1"/>
    <col min="10260" max="10260" width="21.25" style="3159" customWidth="1"/>
    <col min="10261" max="10261" width="20.75" style="3159" customWidth="1"/>
    <col min="10262" max="10496" width="9" style="3159"/>
    <col min="10497" max="10497" width="11.75" style="3159" customWidth="1"/>
    <col min="10498" max="10498" width="10.875" style="3159" customWidth="1"/>
    <col min="10499" max="10499" width="18" style="3159" customWidth="1"/>
    <col min="10500" max="10500" width="12.5" style="3159" customWidth="1"/>
    <col min="10501" max="10503" width="11.25" style="3159" customWidth="1"/>
    <col min="10504" max="10504" width="14.25" style="3159" customWidth="1"/>
    <col min="10505" max="10505" width="15.875" style="3159" customWidth="1"/>
    <col min="10506" max="10506" width="12.625" style="3159" customWidth="1"/>
    <col min="10507" max="10507" width="11.25" style="3159" customWidth="1"/>
    <col min="10508" max="10508" width="13.25" style="3159" customWidth="1"/>
    <col min="10509" max="10509" width="13.625" style="3159" customWidth="1"/>
    <col min="10510" max="10510" width="13" style="3159" customWidth="1"/>
    <col min="10511" max="10511" width="20.375" style="3159" customWidth="1"/>
    <col min="10512" max="10512" width="21.5" style="3159" customWidth="1"/>
    <col min="10513" max="10513" width="18.25" style="3159" customWidth="1"/>
    <col min="10514" max="10514" width="8.75" style="3159" customWidth="1"/>
    <col min="10515" max="10515" width="2.75" style="3159" customWidth="1"/>
    <col min="10516" max="10516" width="21.25" style="3159" customWidth="1"/>
    <col min="10517" max="10517" width="20.75" style="3159" customWidth="1"/>
    <col min="10518" max="10752" width="9" style="3159"/>
    <col min="10753" max="10753" width="11.75" style="3159" customWidth="1"/>
    <col min="10754" max="10754" width="10.875" style="3159" customWidth="1"/>
    <col min="10755" max="10755" width="18" style="3159" customWidth="1"/>
    <col min="10756" max="10756" width="12.5" style="3159" customWidth="1"/>
    <col min="10757" max="10759" width="11.25" style="3159" customWidth="1"/>
    <col min="10760" max="10760" width="14.25" style="3159" customWidth="1"/>
    <col min="10761" max="10761" width="15.875" style="3159" customWidth="1"/>
    <col min="10762" max="10762" width="12.625" style="3159" customWidth="1"/>
    <col min="10763" max="10763" width="11.25" style="3159" customWidth="1"/>
    <col min="10764" max="10764" width="13.25" style="3159" customWidth="1"/>
    <col min="10765" max="10765" width="13.625" style="3159" customWidth="1"/>
    <col min="10766" max="10766" width="13" style="3159" customWidth="1"/>
    <col min="10767" max="10767" width="20.375" style="3159" customWidth="1"/>
    <col min="10768" max="10768" width="21.5" style="3159" customWidth="1"/>
    <col min="10769" max="10769" width="18.25" style="3159" customWidth="1"/>
    <col min="10770" max="10770" width="8.75" style="3159" customWidth="1"/>
    <col min="10771" max="10771" width="2.75" style="3159" customWidth="1"/>
    <col min="10772" max="10772" width="21.25" style="3159" customWidth="1"/>
    <col min="10773" max="10773" width="20.75" style="3159" customWidth="1"/>
    <col min="10774" max="11008" width="9" style="3159"/>
    <col min="11009" max="11009" width="11.75" style="3159" customWidth="1"/>
    <col min="11010" max="11010" width="10.875" style="3159" customWidth="1"/>
    <col min="11011" max="11011" width="18" style="3159" customWidth="1"/>
    <col min="11012" max="11012" width="12.5" style="3159" customWidth="1"/>
    <col min="11013" max="11015" width="11.25" style="3159" customWidth="1"/>
    <col min="11016" max="11016" width="14.25" style="3159" customWidth="1"/>
    <col min="11017" max="11017" width="15.875" style="3159" customWidth="1"/>
    <col min="11018" max="11018" width="12.625" style="3159" customWidth="1"/>
    <col min="11019" max="11019" width="11.25" style="3159" customWidth="1"/>
    <col min="11020" max="11020" width="13.25" style="3159" customWidth="1"/>
    <col min="11021" max="11021" width="13.625" style="3159" customWidth="1"/>
    <col min="11022" max="11022" width="13" style="3159" customWidth="1"/>
    <col min="11023" max="11023" width="20.375" style="3159" customWidth="1"/>
    <col min="11024" max="11024" width="21.5" style="3159" customWidth="1"/>
    <col min="11025" max="11025" width="18.25" style="3159" customWidth="1"/>
    <col min="11026" max="11026" width="8.75" style="3159" customWidth="1"/>
    <col min="11027" max="11027" width="2.75" style="3159" customWidth="1"/>
    <col min="11028" max="11028" width="21.25" style="3159" customWidth="1"/>
    <col min="11029" max="11029" width="20.75" style="3159" customWidth="1"/>
    <col min="11030" max="11264" width="9" style="3159"/>
    <col min="11265" max="11265" width="11.75" style="3159" customWidth="1"/>
    <col min="11266" max="11266" width="10.875" style="3159" customWidth="1"/>
    <col min="11267" max="11267" width="18" style="3159" customWidth="1"/>
    <col min="11268" max="11268" width="12.5" style="3159" customWidth="1"/>
    <col min="11269" max="11271" width="11.25" style="3159" customWidth="1"/>
    <col min="11272" max="11272" width="14.25" style="3159" customWidth="1"/>
    <col min="11273" max="11273" width="15.875" style="3159" customWidth="1"/>
    <col min="11274" max="11274" width="12.625" style="3159" customWidth="1"/>
    <col min="11275" max="11275" width="11.25" style="3159" customWidth="1"/>
    <col min="11276" max="11276" width="13.25" style="3159" customWidth="1"/>
    <col min="11277" max="11277" width="13.625" style="3159" customWidth="1"/>
    <col min="11278" max="11278" width="13" style="3159" customWidth="1"/>
    <col min="11279" max="11279" width="20.375" style="3159" customWidth="1"/>
    <col min="11280" max="11280" width="21.5" style="3159" customWidth="1"/>
    <col min="11281" max="11281" width="18.25" style="3159" customWidth="1"/>
    <col min="11282" max="11282" width="8.75" style="3159" customWidth="1"/>
    <col min="11283" max="11283" width="2.75" style="3159" customWidth="1"/>
    <col min="11284" max="11284" width="21.25" style="3159" customWidth="1"/>
    <col min="11285" max="11285" width="20.75" style="3159" customWidth="1"/>
    <col min="11286" max="11520" width="9" style="3159"/>
    <col min="11521" max="11521" width="11.75" style="3159" customWidth="1"/>
    <col min="11522" max="11522" width="10.875" style="3159" customWidth="1"/>
    <col min="11523" max="11523" width="18" style="3159" customWidth="1"/>
    <col min="11524" max="11524" width="12.5" style="3159" customWidth="1"/>
    <col min="11525" max="11527" width="11.25" style="3159" customWidth="1"/>
    <col min="11528" max="11528" width="14.25" style="3159" customWidth="1"/>
    <col min="11529" max="11529" width="15.875" style="3159" customWidth="1"/>
    <col min="11530" max="11530" width="12.625" style="3159" customWidth="1"/>
    <col min="11531" max="11531" width="11.25" style="3159" customWidth="1"/>
    <col min="11532" max="11532" width="13.25" style="3159" customWidth="1"/>
    <col min="11533" max="11533" width="13.625" style="3159" customWidth="1"/>
    <col min="11534" max="11534" width="13" style="3159" customWidth="1"/>
    <col min="11535" max="11535" width="20.375" style="3159" customWidth="1"/>
    <col min="11536" max="11536" width="21.5" style="3159" customWidth="1"/>
    <col min="11537" max="11537" width="18.25" style="3159" customWidth="1"/>
    <col min="11538" max="11538" width="8.75" style="3159" customWidth="1"/>
    <col min="11539" max="11539" width="2.75" style="3159" customWidth="1"/>
    <col min="11540" max="11540" width="21.25" style="3159" customWidth="1"/>
    <col min="11541" max="11541" width="20.75" style="3159" customWidth="1"/>
    <col min="11542" max="11776" width="9" style="3159"/>
    <col min="11777" max="11777" width="11.75" style="3159" customWidth="1"/>
    <col min="11778" max="11778" width="10.875" style="3159" customWidth="1"/>
    <col min="11779" max="11779" width="18" style="3159" customWidth="1"/>
    <col min="11780" max="11780" width="12.5" style="3159" customWidth="1"/>
    <col min="11781" max="11783" width="11.25" style="3159" customWidth="1"/>
    <col min="11784" max="11784" width="14.25" style="3159" customWidth="1"/>
    <col min="11785" max="11785" width="15.875" style="3159" customWidth="1"/>
    <col min="11786" max="11786" width="12.625" style="3159" customWidth="1"/>
    <col min="11787" max="11787" width="11.25" style="3159" customWidth="1"/>
    <col min="11788" max="11788" width="13.25" style="3159" customWidth="1"/>
    <col min="11789" max="11789" width="13.625" style="3159" customWidth="1"/>
    <col min="11790" max="11790" width="13" style="3159" customWidth="1"/>
    <col min="11791" max="11791" width="20.375" style="3159" customWidth="1"/>
    <col min="11792" max="11792" width="21.5" style="3159" customWidth="1"/>
    <col min="11793" max="11793" width="18.25" style="3159" customWidth="1"/>
    <col min="11794" max="11794" width="8.75" style="3159" customWidth="1"/>
    <col min="11795" max="11795" width="2.75" style="3159" customWidth="1"/>
    <col min="11796" max="11796" width="21.25" style="3159" customWidth="1"/>
    <col min="11797" max="11797" width="20.75" style="3159" customWidth="1"/>
    <col min="11798" max="12032" width="9" style="3159"/>
    <col min="12033" max="12033" width="11.75" style="3159" customWidth="1"/>
    <col min="12034" max="12034" width="10.875" style="3159" customWidth="1"/>
    <col min="12035" max="12035" width="18" style="3159" customWidth="1"/>
    <col min="12036" max="12036" width="12.5" style="3159" customWidth="1"/>
    <col min="12037" max="12039" width="11.25" style="3159" customWidth="1"/>
    <col min="12040" max="12040" width="14.25" style="3159" customWidth="1"/>
    <col min="12041" max="12041" width="15.875" style="3159" customWidth="1"/>
    <col min="12042" max="12042" width="12.625" style="3159" customWidth="1"/>
    <col min="12043" max="12043" width="11.25" style="3159" customWidth="1"/>
    <col min="12044" max="12044" width="13.25" style="3159" customWidth="1"/>
    <col min="12045" max="12045" width="13.625" style="3159" customWidth="1"/>
    <col min="12046" max="12046" width="13" style="3159" customWidth="1"/>
    <col min="12047" max="12047" width="20.375" style="3159" customWidth="1"/>
    <col min="12048" max="12048" width="21.5" style="3159" customWidth="1"/>
    <col min="12049" max="12049" width="18.25" style="3159" customWidth="1"/>
    <col min="12050" max="12050" width="8.75" style="3159" customWidth="1"/>
    <col min="12051" max="12051" width="2.75" style="3159" customWidth="1"/>
    <col min="12052" max="12052" width="21.25" style="3159" customWidth="1"/>
    <col min="12053" max="12053" width="20.75" style="3159" customWidth="1"/>
    <col min="12054" max="12288" width="9" style="3159"/>
    <col min="12289" max="12289" width="11.75" style="3159" customWidth="1"/>
    <col min="12290" max="12290" width="10.875" style="3159" customWidth="1"/>
    <col min="12291" max="12291" width="18" style="3159" customWidth="1"/>
    <col min="12292" max="12292" width="12.5" style="3159" customWidth="1"/>
    <col min="12293" max="12295" width="11.25" style="3159" customWidth="1"/>
    <col min="12296" max="12296" width="14.25" style="3159" customWidth="1"/>
    <col min="12297" max="12297" width="15.875" style="3159" customWidth="1"/>
    <col min="12298" max="12298" width="12.625" style="3159" customWidth="1"/>
    <col min="12299" max="12299" width="11.25" style="3159" customWidth="1"/>
    <col min="12300" max="12300" width="13.25" style="3159" customWidth="1"/>
    <col min="12301" max="12301" width="13.625" style="3159" customWidth="1"/>
    <col min="12302" max="12302" width="13" style="3159" customWidth="1"/>
    <col min="12303" max="12303" width="20.375" style="3159" customWidth="1"/>
    <col min="12304" max="12304" width="21.5" style="3159" customWidth="1"/>
    <col min="12305" max="12305" width="18.25" style="3159" customWidth="1"/>
    <col min="12306" max="12306" width="8.75" style="3159" customWidth="1"/>
    <col min="12307" max="12307" width="2.75" style="3159" customWidth="1"/>
    <col min="12308" max="12308" width="21.25" style="3159" customWidth="1"/>
    <col min="12309" max="12309" width="20.75" style="3159" customWidth="1"/>
    <col min="12310" max="12544" width="9" style="3159"/>
    <col min="12545" max="12545" width="11.75" style="3159" customWidth="1"/>
    <col min="12546" max="12546" width="10.875" style="3159" customWidth="1"/>
    <col min="12547" max="12547" width="18" style="3159" customWidth="1"/>
    <col min="12548" max="12548" width="12.5" style="3159" customWidth="1"/>
    <col min="12549" max="12551" width="11.25" style="3159" customWidth="1"/>
    <col min="12552" max="12552" width="14.25" style="3159" customWidth="1"/>
    <col min="12553" max="12553" width="15.875" style="3159" customWidth="1"/>
    <col min="12554" max="12554" width="12.625" style="3159" customWidth="1"/>
    <col min="12555" max="12555" width="11.25" style="3159" customWidth="1"/>
    <col min="12556" max="12556" width="13.25" style="3159" customWidth="1"/>
    <col min="12557" max="12557" width="13.625" style="3159" customWidth="1"/>
    <col min="12558" max="12558" width="13" style="3159" customWidth="1"/>
    <col min="12559" max="12559" width="20.375" style="3159" customWidth="1"/>
    <col min="12560" max="12560" width="21.5" style="3159" customWidth="1"/>
    <col min="12561" max="12561" width="18.25" style="3159" customWidth="1"/>
    <col min="12562" max="12562" width="8.75" style="3159" customWidth="1"/>
    <col min="12563" max="12563" width="2.75" style="3159" customWidth="1"/>
    <col min="12564" max="12564" width="21.25" style="3159" customWidth="1"/>
    <col min="12565" max="12565" width="20.75" style="3159" customWidth="1"/>
    <col min="12566" max="12800" width="9" style="3159"/>
    <col min="12801" max="12801" width="11.75" style="3159" customWidth="1"/>
    <col min="12802" max="12802" width="10.875" style="3159" customWidth="1"/>
    <col min="12803" max="12803" width="18" style="3159" customWidth="1"/>
    <col min="12804" max="12804" width="12.5" style="3159" customWidth="1"/>
    <col min="12805" max="12807" width="11.25" style="3159" customWidth="1"/>
    <col min="12808" max="12808" width="14.25" style="3159" customWidth="1"/>
    <col min="12809" max="12809" width="15.875" style="3159" customWidth="1"/>
    <col min="12810" max="12810" width="12.625" style="3159" customWidth="1"/>
    <col min="12811" max="12811" width="11.25" style="3159" customWidth="1"/>
    <col min="12812" max="12812" width="13.25" style="3159" customWidth="1"/>
    <col min="12813" max="12813" width="13.625" style="3159" customWidth="1"/>
    <col min="12814" max="12814" width="13" style="3159" customWidth="1"/>
    <col min="12815" max="12815" width="20.375" style="3159" customWidth="1"/>
    <col min="12816" max="12816" width="21.5" style="3159" customWidth="1"/>
    <col min="12817" max="12817" width="18.25" style="3159" customWidth="1"/>
    <col min="12818" max="12818" width="8.75" style="3159" customWidth="1"/>
    <col min="12819" max="12819" width="2.75" style="3159" customWidth="1"/>
    <col min="12820" max="12820" width="21.25" style="3159" customWidth="1"/>
    <col min="12821" max="12821" width="20.75" style="3159" customWidth="1"/>
    <col min="12822" max="13056" width="9" style="3159"/>
    <col min="13057" max="13057" width="11.75" style="3159" customWidth="1"/>
    <col min="13058" max="13058" width="10.875" style="3159" customWidth="1"/>
    <col min="13059" max="13059" width="18" style="3159" customWidth="1"/>
    <col min="13060" max="13060" width="12.5" style="3159" customWidth="1"/>
    <col min="13061" max="13063" width="11.25" style="3159" customWidth="1"/>
    <col min="13064" max="13064" width="14.25" style="3159" customWidth="1"/>
    <col min="13065" max="13065" width="15.875" style="3159" customWidth="1"/>
    <col min="13066" max="13066" width="12.625" style="3159" customWidth="1"/>
    <col min="13067" max="13067" width="11.25" style="3159" customWidth="1"/>
    <col min="13068" max="13068" width="13.25" style="3159" customWidth="1"/>
    <col min="13069" max="13069" width="13.625" style="3159" customWidth="1"/>
    <col min="13070" max="13070" width="13" style="3159" customWidth="1"/>
    <col min="13071" max="13071" width="20.375" style="3159" customWidth="1"/>
    <col min="13072" max="13072" width="21.5" style="3159" customWidth="1"/>
    <col min="13073" max="13073" width="18.25" style="3159" customWidth="1"/>
    <col min="13074" max="13074" width="8.75" style="3159" customWidth="1"/>
    <col min="13075" max="13075" width="2.75" style="3159" customWidth="1"/>
    <col min="13076" max="13076" width="21.25" style="3159" customWidth="1"/>
    <col min="13077" max="13077" width="20.75" style="3159" customWidth="1"/>
    <col min="13078" max="13312" width="9" style="3159"/>
    <col min="13313" max="13313" width="11.75" style="3159" customWidth="1"/>
    <col min="13314" max="13314" width="10.875" style="3159" customWidth="1"/>
    <col min="13315" max="13315" width="18" style="3159" customWidth="1"/>
    <col min="13316" max="13316" width="12.5" style="3159" customWidth="1"/>
    <col min="13317" max="13319" width="11.25" style="3159" customWidth="1"/>
    <col min="13320" max="13320" width="14.25" style="3159" customWidth="1"/>
    <col min="13321" max="13321" width="15.875" style="3159" customWidth="1"/>
    <col min="13322" max="13322" width="12.625" style="3159" customWidth="1"/>
    <col min="13323" max="13323" width="11.25" style="3159" customWidth="1"/>
    <col min="13324" max="13324" width="13.25" style="3159" customWidth="1"/>
    <col min="13325" max="13325" width="13.625" style="3159" customWidth="1"/>
    <col min="13326" max="13326" width="13" style="3159" customWidth="1"/>
    <col min="13327" max="13327" width="20.375" style="3159" customWidth="1"/>
    <col min="13328" max="13328" width="21.5" style="3159" customWidth="1"/>
    <col min="13329" max="13329" width="18.25" style="3159" customWidth="1"/>
    <col min="13330" max="13330" width="8.75" style="3159" customWidth="1"/>
    <col min="13331" max="13331" width="2.75" style="3159" customWidth="1"/>
    <col min="13332" max="13332" width="21.25" style="3159" customWidth="1"/>
    <col min="13333" max="13333" width="20.75" style="3159" customWidth="1"/>
    <col min="13334" max="13568" width="9" style="3159"/>
    <col min="13569" max="13569" width="11.75" style="3159" customWidth="1"/>
    <col min="13570" max="13570" width="10.875" style="3159" customWidth="1"/>
    <col min="13571" max="13571" width="18" style="3159" customWidth="1"/>
    <col min="13572" max="13572" width="12.5" style="3159" customWidth="1"/>
    <col min="13573" max="13575" width="11.25" style="3159" customWidth="1"/>
    <col min="13576" max="13576" width="14.25" style="3159" customWidth="1"/>
    <col min="13577" max="13577" width="15.875" style="3159" customWidth="1"/>
    <col min="13578" max="13578" width="12.625" style="3159" customWidth="1"/>
    <col min="13579" max="13579" width="11.25" style="3159" customWidth="1"/>
    <col min="13580" max="13580" width="13.25" style="3159" customWidth="1"/>
    <col min="13581" max="13581" width="13.625" style="3159" customWidth="1"/>
    <col min="13582" max="13582" width="13" style="3159" customWidth="1"/>
    <col min="13583" max="13583" width="20.375" style="3159" customWidth="1"/>
    <col min="13584" max="13584" width="21.5" style="3159" customWidth="1"/>
    <col min="13585" max="13585" width="18.25" style="3159" customWidth="1"/>
    <col min="13586" max="13586" width="8.75" style="3159" customWidth="1"/>
    <col min="13587" max="13587" width="2.75" style="3159" customWidth="1"/>
    <col min="13588" max="13588" width="21.25" style="3159" customWidth="1"/>
    <col min="13589" max="13589" width="20.75" style="3159" customWidth="1"/>
    <col min="13590" max="13824" width="9" style="3159"/>
    <col min="13825" max="13825" width="11.75" style="3159" customWidth="1"/>
    <col min="13826" max="13826" width="10.875" style="3159" customWidth="1"/>
    <col min="13827" max="13827" width="18" style="3159" customWidth="1"/>
    <col min="13828" max="13828" width="12.5" style="3159" customWidth="1"/>
    <col min="13829" max="13831" width="11.25" style="3159" customWidth="1"/>
    <col min="13832" max="13832" width="14.25" style="3159" customWidth="1"/>
    <col min="13833" max="13833" width="15.875" style="3159" customWidth="1"/>
    <col min="13834" max="13834" width="12.625" style="3159" customWidth="1"/>
    <col min="13835" max="13835" width="11.25" style="3159" customWidth="1"/>
    <col min="13836" max="13836" width="13.25" style="3159" customWidth="1"/>
    <col min="13837" max="13837" width="13.625" style="3159" customWidth="1"/>
    <col min="13838" max="13838" width="13" style="3159" customWidth="1"/>
    <col min="13839" max="13839" width="20.375" style="3159" customWidth="1"/>
    <col min="13840" max="13840" width="21.5" style="3159" customWidth="1"/>
    <col min="13841" max="13841" width="18.25" style="3159" customWidth="1"/>
    <col min="13842" max="13842" width="8.75" style="3159" customWidth="1"/>
    <col min="13843" max="13843" width="2.75" style="3159" customWidth="1"/>
    <col min="13844" max="13844" width="21.25" style="3159" customWidth="1"/>
    <col min="13845" max="13845" width="20.75" style="3159" customWidth="1"/>
    <col min="13846" max="14080" width="9" style="3159"/>
    <col min="14081" max="14081" width="11.75" style="3159" customWidth="1"/>
    <col min="14082" max="14082" width="10.875" style="3159" customWidth="1"/>
    <col min="14083" max="14083" width="18" style="3159" customWidth="1"/>
    <col min="14084" max="14084" width="12.5" style="3159" customWidth="1"/>
    <col min="14085" max="14087" width="11.25" style="3159" customWidth="1"/>
    <col min="14088" max="14088" width="14.25" style="3159" customWidth="1"/>
    <col min="14089" max="14089" width="15.875" style="3159" customWidth="1"/>
    <col min="14090" max="14090" width="12.625" style="3159" customWidth="1"/>
    <col min="14091" max="14091" width="11.25" style="3159" customWidth="1"/>
    <col min="14092" max="14092" width="13.25" style="3159" customWidth="1"/>
    <col min="14093" max="14093" width="13.625" style="3159" customWidth="1"/>
    <col min="14094" max="14094" width="13" style="3159" customWidth="1"/>
    <col min="14095" max="14095" width="20.375" style="3159" customWidth="1"/>
    <col min="14096" max="14096" width="21.5" style="3159" customWidth="1"/>
    <col min="14097" max="14097" width="18.25" style="3159" customWidth="1"/>
    <col min="14098" max="14098" width="8.75" style="3159" customWidth="1"/>
    <col min="14099" max="14099" width="2.75" style="3159" customWidth="1"/>
    <col min="14100" max="14100" width="21.25" style="3159" customWidth="1"/>
    <col min="14101" max="14101" width="20.75" style="3159" customWidth="1"/>
    <col min="14102" max="14336" width="9" style="3159"/>
    <col min="14337" max="14337" width="11.75" style="3159" customWidth="1"/>
    <col min="14338" max="14338" width="10.875" style="3159" customWidth="1"/>
    <col min="14339" max="14339" width="18" style="3159" customWidth="1"/>
    <col min="14340" max="14340" width="12.5" style="3159" customWidth="1"/>
    <col min="14341" max="14343" width="11.25" style="3159" customWidth="1"/>
    <col min="14344" max="14344" width="14.25" style="3159" customWidth="1"/>
    <col min="14345" max="14345" width="15.875" style="3159" customWidth="1"/>
    <col min="14346" max="14346" width="12.625" style="3159" customWidth="1"/>
    <col min="14347" max="14347" width="11.25" style="3159" customWidth="1"/>
    <col min="14348" max="14348" width="13.25" style="3159" customWidth="1"/>
    <col min="14349" max="14349" width="13.625" style="3159" customWidth="1"/>
    <col min="14350" max="14350" width="13" style="3159" customWidth="1"/>
    <col min="14351" max="14351" width="20.375" style="3159" customWidth="1"/>
    <col min="14352" max="14352" width="21.5" style="3159" customWidth="1"/>
    <col min="14353" max="14353" width="18.25" style="3159" customWidth="1"/>
    <col min="14354" max="14354" width="8.75" style="3159" customWidth="1"/>
    <col min="14355" max="14355" width="2.75" style="3159" customWidth="1"/>
    <col min="14356" max="14356" width="21.25" style="3159" customWidth="1"/>
    <col min="14357" max="14357" width="20.75" style="3159" customWidth="1"/>
    <col min="14358" max="14592" width="9" style="3159"/>
    <col min="14593" max="14593" width="11.75" style="3159" customWidth="1"/>
    <col min="14594" max="14594" width="10.875" style="3159" customWidth="1"/>
    <col min="14595" max="14595" width="18" style="3159" customWidth="1"/>
    <col min="14596" max="14596" width="12.5" style="3159" customWidth="1"/>
    <col min="14597" max="14599" width="11.25" style="3159" customWidth="1"/>
    <col min="14600" max="14600" width="14.25" style="3159" customWidth="1"/>
    <col min="14601" max="14601" width="15.875" style="3159" customWidth="1"/>
    <col min="14602" max="14602" width="12.625" style="3159" customWidth="1"/>
    <col min="14603" max="14603" width="11.25" style="3159" customWidth="1"/>
    <col min="14604" max="14604" width="13.25" style="3159" customWidth="1"/>
    <col min="14605" max="14605" width="13.625" style="3159" customWidth="1"/>
    <col min="14606" max="14606" width="13" style="3159" customWidth="1"/>
    <col min="14607" max="14607" width="20.375" style="3159" customWidth="1"/>
    <col min="14608" max="14608" width="21.5" style="3159" customWidth="1"/>
    <col min="14609" max="14609" width="18.25" style="3159" customWidth="1"/>
    <col min="14610" max="14610" width="8.75" style="3159" customWidth="1"/>
    <col min="14611" max="14611" width="2.75" style="3159" customWidth="1"/>
    <col min="14612" max="14612" width="21.25" style="3159" customWidth="1"/>
    <col min="14613" max="14613" width="20.75" style="3159" customWidth="1"/>
    <col min="14614" max="14848" width="9" style="3159"/>
    <col min="14849" max="14849" width="11.75" style="3159" customWidth="1"/>
    <col min="14850" max="14850" width="10.875" style="3159" customWidth="1"/>
    <col min="14851" max="14851" width="18" style="3159" customWidth="1"/>
    <col min="14852" max="14852" width="12.5" style="3159" customWidth="1"/>
    <col min="14853" max="14855" width="11.25" style="3159" customWidth="1"/>
    <col min="14856" max="14856" width="14.25" style="3159" customWidth="1"/>
    <col min="14857" max="14857" width="15.875" style="3159" customWidth="1"/>
    <col min="14858" max="14858" width="12.625" style="3159" customWidth="1"/>
    <col min="14859" max="14859" width="11.25" style="3159" customWidth="1"/>
    <col min="14860" max="14860" width="13.25" style="3159" customWidth="1"/>
    <col min="14861" max="14861" width="13.625" style="3159" customWidth="1"/>
    <col min="14862" max="14862" width="13" style="3159" customWidth="1"/>
    <col min="14863" max="14863" width="20.375" style="3159" customWidth="1"/>
    <col min="14864" max="14864" width="21.5" style="3159" customWidth="1"/>
    <col min="14865" max="14865" width="18.25" style="3159" customWidth="1"/>
    <col min="14866" max="14866" width="8.75" style="3159" customWidth="1"/>
    <col min="14867" max="14867" width="2.75" style="3159" customWidth="1"/>
    <col min="14868" max="14868" width="21.25" style="3159" customWidth="1"/>
    <col min="14869" max="14869" width="20.75" style="3159" customWidth="1"/>
    <col min="14870" max="15104" width="9" style="3159"/>
    <col min="15105" max="15105" width="11.75" style="3159" customWidth="1"/>
    <col min="15106" max="15106" width="10.875" style="3159" customWidth="1"/>
    <col min="15107" max="15107" width="18" style="3159" customWidth="1"/>
    <col min="15108" max="15108" width="12.5" style="3159" customWidth="1"/>
    <col min="15109" max="15111" width="11.25" style="3159" customWidth="1"/>
    <col min="15112" max="15112" width="14.25" style="3159" customWidth="1"/>
    <col min="15113" max="15113" width="15.875" style="3159" customWidth="1"/>
    <col min="15114" max="15114" width="12.625" style="3159" customWidth="1"/>
    <col min="15115" max="15115" width="11.25" style="3159" customWidth="1"/>
    <col min="15116" max="15116" width="13.25" style="3159" customWidth="1"/>
    <col min="15117" max="15117" width="13.625" style="3159" customWidth="1"/>
    <col min="15118" max="15118" width="13" style="3159" customWidth="1"/>
    <col min="15119" max="15119" width="20.375" style="3159" customWidth="1"/>
    <col min="15120" max="15120" width="21.5" style="3159" customWidth="1"/>
    <col min="15121" max="15121" width="18.25" style="3159" customWidth="1"/>
    <col min="15122" max="15122" width="8.75" style="3159" customWidth="1"/>
    <col min="15123" max="15123" width="2.75" style="3159" customWidth="1"/>
    <col min="15124" max="15124" width="21.25" style="3159" customWidth="1"/>
    <col min="15125" max="15125" width="20.75" style="3159" customWidth="1"/>
    <col min="15126" max="15360" width="9" style="3159"/>
    <col min="15361" max="15361" width="11.75" style="3159" customWidth="1"/>
    <col min="15362" max="15362" width="10.875" style="3159" customWidth="1"/>
    <col min="15363" max="15363" width="18" style="3159" customWidth="1"/>
    <col min="15364" max="15364" width="12.5" style="3159" customWidth="1"/>
    <col min="15365" max="15367" width="11.25" style="3159" customWidth="1"/>
    <col min="15368" max="15368" width="14.25" style="3159" customWidth="1"/>
    <col min="15369" max="15369" width="15.875" style="3159" customWidth="1"/>
    <col min="15370" max="15370" width="12.625" style="3159" customWidth="1"/>
    <col min="15371" max="15371" width="11.25" style="3159" customWidth="1"/>
    <col min="15372" max="15372" width="13.25" style="3159" customWidth="1"/>
    <col min="15373" max="15373" width="13.625" style="3159" customWidth="1"/>
    <col min="15374" max="15374" width="13" style="3159" customWidth="1"/>
    <col min="15375" max="15375" width="20.375" style="3159" customWidth="1"/>
    <col min="15376" max="15376" width="21.5" style="3159" customWidth="1"/>
    <col min="15377" max="15377" width="18.25" style="3159" customWidth="1"/>
    <col min="15378" max="15378" width="8.75" style="3159" customWidth="1"/>
    <col min="15379" max="15379" width="2.75" style="3159" customWidth="1"/>
    <col min="15380" max="15380" width="21.25" style="3159" customWidth="1"/>
    <col min="15381" max="15381" width="20.75" style="3159" customWidth="1"/>
    <col min="15382" max="15616" width="9" style="3159"/>
    <col min="15617" max="15617" width="11.75" style="3159" customWidth="1"/>
    <col min="15618" max="15618" width="10.875" style="3159" customWidth="1"/>
    <col min="15619" max="15619" width="18" style="3159" customWidth="1"/>
    <col min="15620" max="15620" width="12.5" style="3159" customWidth="1"/>
    <col min="15621" max="15623" width="11.25" style="3159" customWidth="1"/>
    <col min="15624" max="15624" width="14.25" style="3159" customWidth="1"/>
    <col min="15625" max="15625" width="15.875" style="3159" customWidth="1"/>
    <col min="15626" max="15626" width="12.625" style="3159" customWidth="1"/>
    <col min="15627" max="15627" width="11.25" style="3159" customWidth="1"/>
    <col min="15628" max="15628" width="13.25" style="3159" customWidth="1"/>
    <col min="15629" max="15629" width="13.625" style="3159" customWidth="1"/>
    <col min="15630" max="15630" width="13" style="3159" customWidth="1"/>
    <col min="15631" max="15631" width="20.375" style="3159" customWidth="1"/>
    <col min="15632" max="15632" width="21.5" style="3159" customWidth="1"/>
    <col min="15633" max="15633" width="18.25" style="3159" customWidth="1"/>
    <col min="15634" max="15634" width="8.75" style="3159" customWidth="1"/>
    <col min="15635" max="15635" width="2.75" style="3159" customWidth="1"/>
    <col min="15636" max="15636" width="21.25" style="3159" customWidth="1"/>
    <col min="15637" max="15637" width="20.75" style="3159" customWidth="1"/>
    <col min="15638" max="15872" width="9" style="3159"/>
    <col min="15873" max="15873" width="11.75" style="3159" customWidth="1"/>
    <col min="15874" max="15874" width="10.875" style="3159" customWidth="1"/>
    <col min="15875" max="15875" width="18" style="3159" customWidth="1"/>
    <col min="15876" max="15876" width="12.5" style="3159" customWidth="1"/>
    <col min="15877" max="15879" width="11.25" style="3159" customWidth="1"/>
    <col min="15880" max="15880" width="14.25" style="3159" customWidth="1"/>
    <col min="15881" max="15881" width="15.875" style="3159" customWidth="1"/>
    <col min="15882" max="15882" width="12.625" style="3159" customWidth="1"/>
    <col min="15883" max="15883" width="11.25" style="3159" customWidth="1"/>
    <col min="15884" max="15884" width="13.25" style="3159" customWidth="1"/>
    <col min="15885" max="15885" width="13.625" style="3159" customWidth="1"/>
    <col min="15886" max="15886" width="13" style="3159" customWidth="1"/>
    <col min="15887" max="15887" width="20.375" style="3159" customWidth="1"/>
    <col min="15888" max="15888" width="21.5" style="3159" customWidth="1"/>
    <col min="15889" max="15889" width="18.25" style="3159" customWidth="1"/>
    <col min="15890" max="15890" width="8.75" style="3159" customWidth="1"/>
    <col min="15891" max="15891" width="2.75" style="3159" customWidth="1"/>
    <col min="15892" max="15892" width="21.25" style="3159" customWidth="1"/>
    <col min="15893" max="15893" width="20.75" style="3159" customWidth="1"/>
    <col min="15894" max="16128" width="9" style="3159"/>
    <col min="16129" max="16129" width="11.75" style="3159" customWidth="1"/>
    <col min="16130" max="16130" width="10.875" style="3159" customWidth="1"/>
    <col min="16131" max="16131" width="18" style="3159" customWidth="1"/>
    <col min="16132" max="16132" width="12.5" style="3159" customWidth="1"/>
    <col min="16133" max="16135" width="11.25" style="3159" customWidth="1"/>
    <col min="16136" max="16136" width="14.25" style="3159" customWidth="1"/>
    <col min="16137" max="16137" width="15.875" style="3159" customWidth="1"/>
    <col min="16138" max="16138" width="12.625" style="3159" customWidth="1"/>
    <col min="16139" max="16139" width="11.25" style="3159" customWidth="1"/>
    <col min="16140" max="16140" width="13.25" style="3159" customWidth="1"/>
    <col min="16141" max="16141" width="13.625" style="3159" customWidth="1"/>
    <col min="16142" max="16142" width="13" style="3159" customWidth="1"/>
    <col min="16143" max="16143" width="20.375" style="3159" customWidth="1"/>
    <col min="16144" max="16144" width="21.5" style="3159" customWidth="1"/>
    <col min="16145" max="16145" width="18.25" style="3159" customWidth="1"/>
    <col min="16146" max="16146" width="8.75" style="3159" customWidth="1"/>
    <col min="16147" max="16147" width="2.75" style="3159" customWidth="1"/>
    <col min="16148" max="16148" width="21.25" style="3159" customWidth="1"/>
    <col min="16149" max="16149" width="20.75" style="3159" customWidth="1"/>
    <col min="16150" max="16384" width="9" style="3159"/>
  </cols>
  <sheetData>
    <row r="1" spans="1:15" ht="24.75" customHeight="1" thickBot="1">
      <c r="A1" s="3154"/>
      <c r="B1" s="3154"/>
      <c r="C1" s="3155" t="str">
        <f>+[1]封面!C5</f>
        <v>惠深</v>
      </c>
      <c r="D1" s="3156" t="s">
        <v>2985</v>
      </c>
      <c r="E1" s="3396" t="str">
        <f>+[1]封面!E5</f>
        <v>黄金海岸</v>
      </c>
      <c r="F1" s="3396"/>
      <c r="G1" s="3156" t="s">
        <v>2372</v>
      </c>
      <c r="H1" s="3157" t="str">
        <f>+[1]封面!G5</f>
        <v>南地块</v>
      </c>
      <c r="I1" s="3154" t="s">
        <v>2986</v>
      </c>
      <c r="J1" s="3154"/>
      <c r="K1" s="3154"/>
      <c r="L1" s="3154"/>
      <c r="M1" s="3154"/>
      <c r="N1" s="3154"/>
      <c r="O1" s="3158"/>
    </row>
    <row r="2" spans="1:15" ht="20.100000000000001" hidden="1" customHeight="1">
      <c r="H2" s="3163"/>
    </row>
    <row r="3" spans="1:15" ht="20.100000000000001" hidden="1" customHeight="1">
      <c r="A3" s="3164" t="s">
        <v>2987</v>
      </c>
      <c r="B3" s="3165">
        <v>0.03</v>
      </c>
      <c r="C3" s="3166"/>
      <c r="D3" s="3167" t="s">
        <v>2988</v>
      </c>
      <c r="E3" s="3165">
        <v>0.25</v>
      </c>
      <c r="F3" s="3168"/>
      <c r="G3" s="3168" t="s">
        <v>2989</v>
      </c>
      <c r="H3" s="3169">
        <f>F9/666.667</f>
        <v>165.31341734329132</v>
      </c>
      <c r="I3" s="3166"/>
      <c r="J3" s="3170" t="s">
        <v>2990</v>
      </c>
      <c r="K3" s="3171">
        <f>IF(ROUNDDOWN(D56-H3*666.667,0)=0,D56,"不一致，相差"&amp;ROUND(D56-H3*666.6667,0)&amp;"㎡")</f>
        <v>110208.99539942089</v>
      </c>
      <c r="L3" s="3166"/>
      <c r="M3" s="3166"/>
      <c r="N3" s="3172"/>
    </row>
    <row r="4" spans="1:15" ht="20.100000000000001" hidden="1" customHeight="1">
      <c r="A4" s="3173" t="s">
        <v>2991</v>
      </c>
      <c r="B4" s="3174">
        <v>0.12</v>
      </c>
      <c r="C4" s="3175"/>
      <c r="D4" s="3176" t="s">
        <v>2992</v>
      </c>
      <c r="E4" s="3174">
        <v>0.05</v>
      </c>
      <c r="F4" s="3177"/>
      <c r="G4" s="3177" t="s">
        <v>2993</v>
      </c>
      <c r="H4" s="3178">
        <f>'[1]表2 项目总目标成本表'!G23/'[1]表1 项目规划指标及收入计划'!H3/10000</f>
        <v>513.33359000000007</v>
      </c>
      <c r="I4" s="3175"/>
      <c r="J4" s="3175" t="s">
        <v>2030</v>
      </c>
      <c r="K4" s="3179">
        <f>J7</f>
        <v>1.4038356214102297</v>
      </c>
      <c r="L4" s="3175"/>
      <c r="M4" s="3175"/>
      <c r="N4" s="3180"/>
    </row>
    <row r="5" spans="1:15" ht="20.100000000000001" hidden="1" customHeight="1">
      <c r="A5" s="3181" t="s">
        <v>2994</v>
      </c>
      <c r="B5" s="3182">
        <v>0</v>
      </c>
      <c r="C5" s="3183"/>
      <c r="D5" s="3184" t="s">
        <v>2995</v>
      </c>
      <c r="E5" s="3185">
        <f>'[1]表2 项目总目标成本表'!F1200</f>
        <v>4.3409576577197739E-3</v>
      </c>
      <c r="F5" s="3186"/>
      <c r="G5" s="3186" t="s">
        <v>2996</v>
      </c>
      <c r="H5" s="3187">
        <f>H3*H4</f>
        <v>84860.930000000008</v>
      </c>
      <c r="I5" s="3183"/>
      <c r="J5" s="3183" t="s">
        <v>2997</v>
      </c>
      <c r="K5" s="3188">
        <v>0.4</v>
      </c>
      <c r="L5" s="3183"/>
      <c r="M5" s="3183"/>
      <c r="N5" s="3189"/>
    </row>
    <row r="6" spans="1:15" ht="20.100000000000001" hidden="1" customHeight="1"/>
    <row r="7" spans="1:15" s="3196" customFormat="1" ht="13.7" customHeight="1">
      <c r="A7" s="3397" t="s">
        <v>2998</v>
      </c>
      <c r="B7" s="3399" t="s">
        <v>2999</v>
      </c>
      <c r="C7" s="3190" t="s">
        <v>3000</v>
      </c>
      <c r="D7" s="3191">
        <f>D9+D11+D13</f>
        <v>241586.90000000002</v>
      </c>
      <c r="E7" s="3191" t="s">
        <v>3001</v>
      </c>
      <c r="F7" s="3192">
        <f>F9+F11+F13</f>
        <v>110209</v>
      </c>
      <c r="G7" s="3190" t="s">
        <v>3002</v>
      </c>
      <c r="H7" s="3191">
        <f>H9+H11+H13</f>
        <v>154715.32</v>
      </c>
      <c r="I7" s="3190" t="s">
        <v>2030</v>
      </c>
      <c r="J7" s="3193">
        <f>L7/F7</f>
        <v>1.4038356214102297</v>
      </c>
      <c r="K7" s="3190" t="s">
        <v>3003</v>
      </c>
      <c r="L7" s="3191">
        <f>L9+L11+L13</f>
        <v>154715.32</v>
      </c>
      <c r="M7" s="3190" t="s">
        <v>3004</v>
      </c>
      <c r="N7" s="3194">
        <f>N9+N11+N13</f>
        <v>86871.580000000016</v>
      </c>
      <c r="O7" s="3195"/>
    </row>
    <row r="8" spans="1:15" s="3196" customFormat="1" ht="13.7" customHeight="1">
      <c r="A8" s="3398"/>
      <c r="B8" s="3400"/>
      <c r="C8" s="3197" t="s">
        <v>3005</v>
      </c>
      <c r="D8" s="3198"/>
      <c r="E8" s="3197" t="s">
        <v>3006</v>
      </c>
      <c r="F8" s="3401">
        <f>F10+F12+F14</f>
        <v>110209</v>
      </c>
      <c r="G8" s="3401"/>
      <c r="H8" s="3402" t="s">
        <v>3007</v>
      </c>
      <c r="I8" s="3402"/>
      <c r="J8" s="3389"/>
      <c r="K8" s="3389"/>
      <c r="L8" s="3389"/>
      <c r="M8" s="3197" t="s">
        <v>3008</v>
      </c>
      <c r="N8" s="3199"/>
      <c r="O8" s="3195"/>
    </row>
    <row r="9" spans="1:15" s="3196" customFormat="1" ht="13.7" customHeight="1">
      <c r="A9" s="3398"/>
      <c r="B9" s="3390" t="s">
        <v>3009</v>
      </c>
      <c r="C9" s="3200" t="s">
        <v>2938</v>
      </c>
      <c r="D9" s="3201">
        <f>F56</f>
        <v>241586.90000000002</v>
      </c>
      <c r="E9" s="3201" t="s">
        <v>3010</v>
      </c>
      <c r="F9" s="3201">
        <v>110209</v>
      </c>
      <c r="G9" s="3200" t="s">
        <v>3002</v>
      </c>
      <c r="H9" s="3201">
        <f>G56</f>
        <v>154715.32</v>
      </c>
      <c r="I9" s="3200" t="s">
        <v>2030</v>
      </c>
      <c r="J9" s="3202">
        <f>L9/F9</f>
        <v>1.4038356214102297</v>
      </c>
      <c r="K9" s="3200" t="s">
        <v>3003</v>
      </c>
      <c r="L9" s="3201">
        <f>E56</f>
        <v>154715.32</v>
      </c>
      <c r="M9" s="3200" t="s">
        <v>3004</v>
      </c>
      <c r="N9" s="3203">
        <f>F56-E56</f>
        <v>86871.580000000016</v>
      </c>
      <c r="O9" s="3195"/>
    </row>
    <row r="10" spans="1:15" s="3196" customFormat="1" ht="13.7" customHeight="1">
      <c r="A10" s="3398"/>
      <c r="B10" s="3390"/>
      <c r="C10" s="3200" t="s">
        <v>3005</v>
      </c>
      <c r="D10" s="3201">
        <f>D8</f>
        <v>0</v>
      </c>
      <c r="E10" s="3200" t="s">
        <v>3006</v>
      </c>
      <c r="F10" s="3391">
        <f>F9-D10</f>
        <v>110209</v>
      </c>
      <c r="G10" s="3391"/>
      <c r="H10" s="3392" t="s">
        <v>3007</v>
      </c>
      <c r="I10" s="3392"/>
      <c r="J10" s="3393">
        <v>1000</v>
      </c>
      <c r="K10" s="3394"/>
      <c r="L10" s="3395"/>
      <c r="M10" s="3200" t="s">
        <v>3011</v>
      </c>
      <c r="N10" s="3203"/>
      <c r="O10" s="3195"/>
    </row>
    <row r="11" spans="1:15" s="3196" customFormat="1" ht="13.7" customHeight="1">
      <c r="A11" s="3398"/>
      <c r="B11" s="3392" t="s">
        <v>3012</v>
      </c>
      <c r="C11" s="3200" t="s">
        <v>2938</v>
      </c>
      <c r="D11" s="3201"/>
      <c r="E11" s="3201" t="s">
        <v>3010</v>
      </c>
      <c r="F11" s="3201"/>
      <c r="G11" s="3200" t="s">
        <v>3002</v>
      </c>
      <c r="H11" s="3201"/>
      <c r="I11" s="3200" t="s">
        <v>2030</v>
      </c>
      <c r="J11" s="3202" t="e">
        <f>L11/F11</f>
        <v>#DIV/0!</v>
      </c>
      <c r="K11" s="3200" t="s">
        <v>3003</v>
      </c>
      <c r="L11" s="3201"/>
      <c r="M11" s="3200" t="s">
        <v>3004</v>
      </c>
      <c r="N11" s="3203"/>
      <c r="O11" s="3195"/>
    </row>
    <row r="12" spans="1:15" s="3196" customFormat="1" ht="13.7" customHeight="1">
      <c r="A12" s="3398"/>
      <c r="B12" s="3392"/>
      <c r="C12" s="3200" t="s">
        <v>3005</v>
      </c>
      <c r="D12" s="3201"/>
      <c r="E12" s="3200" t="s">
        <v>3006</v>
      </c>
      <c r="F12" s="3391"/>
      <c r="G12" s="3391"/>
      <c r="H12" s="3392" t="s">
        <v>3007</v>
      </c>
      <c r="I12" s="3392"/>
      <c r="J12" s="3392"/>
      <c r="K12" s="3392"/>
      <c r="L12" s="3392"/>
      <c r="M12" s="3200" t="s">
        <v>3011</v>
      </c>
      <c r="N12" s="3203"/>
      <c r="O12" s="3195"/>
    </row>
    <row r="13" spans="1:15" s="3196" customFormat="1" ht="13.7" customHeight="1">
      <c r="A13" s="3398"/>
      <c r="B13" s="3392" t="s">
        <v>3013</v>
      </c>
      <c r="C13" s="3200" t="s">
        <v>2938</v>
      </c>
      <c r="D13" s="3201"/>
      <c r="E13" s="3201" t="s">
        <v>3010</v>
      </c>
      <c r="F13" s="3201"/>
      <c r="G13" s="3200" t="s">
        <v>3002</v>
      </c>
      <c r="H13" s="3201"/>
      <c r="I13" s="3200" t="s">
        <v>2030</v>
      </c>
      <c r="J13" s="3202" t="e">
        <f>L13/F13</f>
        <v>#DIV/0!</v>
      </c>
      <c r="K13" s="3200" t="s">
        <v>3003</v>
      </c>
      <c r="L13" s="3201"/>
      <c r="M13" s="3200" t="s">
        <v>3004</v>
      </c>
      <c r="N13" s="3203"/>
      <c r="O13" s="3195"/>
    </row>
    <row r="14" spans="1:15" s="3196" customFormat="1" ht="13.7" customHeight="1">
      <c r="A14" s="3398"/>
      <c r="B14" s="3392"/>
      <c r="C14" s="3200" t="s">
        <v>3005</v>
      </c>
      <c r="D14" s="3201"/>
      <c r="E14" s="3200" t="s">
        <v>3006</v>
      </c>
      <c r="F14" s="3392"/>
      <c r="G14" s="3392"/>
      <c r="H14" s="3392" t="s">
        <v>3007</v>
      </c>
      <c r="I14" s="3392"/>
      <c r="J14" s="3392"/>
      <c r="K14" s="3392"/>
      <c r="L14" s="3392"/>
      <c r="M14" s="3200" t="s">
        <v>3011</v>
      </c>
      <c r="N14" s="3203"/>
      <c r="O14" s="3195"/>
    </row>
    <row r="15" spans="1:15" s="3196" customFormat="1" ht="27" customHeight="1">
      <c r="A15" s="3409" t="s">
        <v>3014</v>
      </c>
      <c r="B15" s="3204" t="s">
        <v>3015</v>
      </c>
      <c r="C15" s="3204" t="s">
        <v>3016</v>
      </c>
      <c r="D15" s="3204" t="s">
        <v>3010</v>
      </c>
      <c r="E15" s="3204" t="s">
        <v>3003</v>
      </c>
      <c r="F15" s="3204" t="s">
        <v>2938</v>
      </c>
      <c r="G15" s="3204" t="s">
        <v>3002</v>
      </c>
      <c r="H15" s="3204" t="s">
        <v>3017</v>
      </c>
      <c r="I15" s="3204" t="s">
        <v>3018</v>
      </c>
      <c r="J15" s="3204" t="s">
        <v>3019</v>
      </c>
      <c r="K15" s="3204" t="s">
        <v>3020</v>
      </c>
      <c r="L15" s="3204" t="s">
        <v>3021</v>
      </c>
      <c r="M15" s="3205" t="s">
        <v>3022</v>
      </c>
      <c r="N15" s="3206" t="s">
        <v>3023</v>
      </c>
      <c r="O15" s="3207" t="s">
        <v>2030</v>
      </c>
    </row>
    <row r="16" spans="1:15" s="3196" customFormat="1" ht="13.5" customHeight="1">
      <c r="A16" s="3409"/>
      <c r="B16" s="3408" t="s">
        <v>921</v>
      </c>
      <c r="C16" s="3208">
        <v>100</v>
      </c>
      <c r="D16" s="3209"/>
      <c r="E16" s="3209"/>
      <c r="F16" s="3209"/>
      <c r="G16" s="3209"/>
      <c r="H16" s="3210"/>
      <c r="I16" s="3211"/>
      <c r="J16" s="3212"/>
      <c r="K16" s="3209"/>
      <c r="L16" s="3213"/>
      <c r="M16" s="3213">
        <f>L16*G16/10000</f>
        <v>0</v>
      </c>
      <c r="N16" s="3214"/>
      <c r="O16" s="3195" t="e">
        <f>E16/D16</f>
        <v>#DIV/0!</v>
      </c>
    </row>
    <row r="17" spans="1:21" s="3196" customFormat="1" ht="13.7" customHeight="1">
      <c r="A17" s="3409"/>
      <c r="B17" s="3408"/>
      <c r="C17" s="3208">
        <v>125</v>
      </c>
      <c r="D17" s="3209">
        <v>41671.875</v>
      </c>
      <c r="E17" s="3215">
        <v>26670</v>
      </c>
      <c r="F17" s="3209">
        <f t="shared" ref="F17:G20" si="0">E17</f>
        <v>26670</v>
      </c>
      <c r="G17" s="3209">
        <f t="shared" si="0"/>
        <v>26670</v>
      </c>
      <c r="H17" s="3210" t="s">
        <v>3024</v>
      </c>
      <c r="I17" s="3211"/>
      <c r="J17" s="3216">
        <v>210</v>
      </c>
      <c r="K17" s="3209">
        <f>IFERROR(F17/J17,0)</f>
        <v>127</v>
      </c>
      <c r="L17" s="3217">
        <v>40000</v>
      </c>
      <c r="M17" s="3213">
        <f>L17*G17/10000</f>
        <v>106680</v>
      </c>
      <c r="N17" s="3214" t="s">
        <v>1677</v>
      </c>
      <c r="O17" s="3195">
        <f t="shared" ref="O17:O28" si="1">E17/D17</f>
        <v>0.64</v>
      </c>
      <c r="Q17" s="3218"/>
    </row>
    <row r="18" spans="1:21" s="3196" customFormat="1" ht="13.7" customHeight="1">
      <c r="A18" s="3409"/>
      <c r="B18" s="3408"/>
      <c r="C18" s="3208">
        <v>150</v>
      </c>
      <c r="D18" s="3209">
        <v>3653.125</v>
      </c>
      <c r="E18" s="3215">
        <v>2338</v>
      </c>
      <c r="F18" s="3209">
        <f t="shared" si="0"/>
        <v>2338</v>
      </c>
      <c r="G18" s="3209">
        <f t="shared" si="0"/>
        <v>2338</v>
      </c>
      <c r="H18" s="3210" t="s">
        <v>3024</v>
      </c>
      <c r="I18" s="3211"/>
      <c r="J18" s="3212">
        <v>14</v>
      </c>
      <c r="K18" s="3209">
        <f>IFERROR(F18/J18,0)</f>
        <v>167</v>
      </c>
      <c r="L18" s="3217">
        <v>40000</v>
      </c>
      <c r="M18" s="3213">
        <f>L18*G18/10000</f>
        <v>9352</v>
      </c>
      <c r="N18" s="3214" t="s">
        <v>1677</v>
      </c>
      <c r="O18" s="3195">
        <f t="shared" si="1"/>
        <v>0.64</v>
      </c>
      <c r="Q18" s="3218"/>
    </row>
    <row r="19" spans="1:21" s="3196" customFormat="1" ht="13.7" customHeight="1">
      <c r="A19" s="3409"/>
      <c r="B19" s="3408"/>
      <c r="C19" s="3208" t="s">
        <v>3025</v>
      </c>
      <c r="D19" s="3209">
        <v>50974.766252619287</v>
      </c>
      <c r="E19" s="3219">
        <v>100279.12</v>
      </c>
      <c r="F19" s="3209">
        <f t="shared" si="0"/>
        <v>100279.12</v>
      </c>
      <c r="G19" s="3209">
        <f t="shared" si="0"/>
        <v>100279.12</v>
      </c>
      <c r="H19" s="3210" t="s">
        <v>3024</v>
      </c>
      <c r="I19" s="3211"/>
      <c r="J19" s="3212">
        <v>976</v>
      </c>
      <c r="K19" s="3209">
        <f>IFERROR(F19/J19,0)</f>
        <v>102.74499999999999</v>
      </c>
      <c r="L19" s="3220">
        <v>20000</v>
      </c>
      <c r="M19" s="3213">
        <f>L19*G19/10000</f>
        <v>200558.24</v>
      </c>
      <c r="N19" s="3214" t="s">
        <v>1677</v>
      </c>
      <c r="O19" s="3195">
        <f t="shared" si="1"/>
        <v>1.9672306000000002</v>
      </c>
      <c r="Q19" s="3218"/>
    </row>
    <row r="20" spans="1:21" s="3196" customFormat="1" ht="13.7" customHeight="1">
      <c r="A20" s="3409"/>
      <c r="B20" s="3408"/>
      <c r="C20" s="3208" t="s">
        <v>3026</v>
      </c>
      <c r="D20" s="3209">
        <v>11909.229146801601</v>
      </c>
      <c r="E20" s="3215">
        <v>23428.2</v>
      </c>
      <c r="F20" s="3209">
        <f t="shared" si="0"/>
        <v>23428.2</v>
      </c>
      <c r="G20" s="3209">
        <f t="shared" si="0"/>
        <v>23428.2</v>
      </c>
      <c r="H20" s="3210" t="s">
        <v>3024</v>
      </c>
      <c r="I20" s="3211"/>
      <c r="J20" s="3212">
        <v>180</v>
      </c>
      <c r="K20" s="3209">
        <f>IFERROR(F20/J20,0)</f>
        <v>130.15666666666667</v>
      </c>
      <c r="L20" s="3220">
        <v>20000</v>
      </c>
      <c r="M20" s="3213">
        <f>L20*G20/10000</f>
        <v>46856.4</v>
      </c>
      <c r="N20" s="3214" t="s">
        <v>1677</v>
      </c>
      <c r="O20" s="3195">
        <f t="shared" si="1"/>
        <v>1.9672305999999999</v>
      </c>
      <c r="Q20" s="3218"/>
    </row>
    <row r="21" spans="1:21" s="3196" customFormat="1" ht="13.7" customHeight="1">
      <c r="A21" s="3409"/>
      <c r="B21" s="3408"/>
      <c r="C21" s="3208" t="s">
        <v>3027</v>
      </c>
      <c r="D21" s="3209"/>
      <c r="E21" s="3209"/>
      <c r="F21" s="3209"/>
      <c r="G21" s="3209"/>
      <c r="I21" s="3211"/>
      <c r="J21" s="3212"/>
      <c r="K21" s="3209"/>
      <c r="L21" s="3213"/>
      <c r="M21" s="3213"/>
      <c r="N21" s="3214"/>
      <c r="O21" s="3195" t="e">
        <f t="shared" si="1"/>
        <v>#DIV/0!</v>
      </c>
      <c r="Q21" s="3218"/>
    </row>
    <row r="22" spans="1:21" s="3196" customFormat="1" ht="13.7" customHeight="1">
      <c r="A22" s="3409"/>
      <c r="B22" s="3408"/>
      <c r="C22" s="3208" t="s">
        <v>3028</v>
      </c>
      <c r="D22" s="3209"/>
      <c r="E22" s="3209"/>
      <c r="F22" s="3209"/>
      <c r="G22" s="3209"/>
      <c r="H22" s="3210"/>
      <c r="I22" s="3211"/>
      <c r="J22" s="3212"/>
      <c r="K22" s="3209"/>
      <c r="L22" s="3213"/>
      <c r="M22" s="3213"/>
      <c r="N22" s="3214"/>
      <c r="O22" s="3195" t="e">
        <f t="shared" si="1"/>
        <v>#DIV/0!</v>
      </c>
      <c r="Q22" s="3218"/>
    </row>
    <row r="23" spans="1:21" s="3196" customFormat="1" ht="13.7" customHeight="1">
      <c r="A23" s="3409"/>
      <c r="B23" s="3408"/>
      <c r="C23" s="3208" t="s">
        <v>3029</v>
      </c>
      <c r="D23" s="3209"/>
      <c r="E23" s="3209"/>
      <c r="F23" s="3209"/>
      <c r="G23" s="3209"/>
      <c r="H23" s="3210"/>
      <c r="I23" s="3211"/>
      <c r="J23" s="3212"/>
      <c r="K23" s="3209"/>
      <c r="L23" s="3213"/>
      <c r="M23" s="3213"/>
      <c r="N23" s="3214"/>
      <c r="O23" s="3195" t="e">
        <f>E23/D23</f>
        <v>#DIV/0!</v>
      </c>
      <c r="Q23" s="3218"/>
    </row>
    <row r="24" spans="1:21" s="3196" customFormat="1" ht="13.7" customHeight="1">
      <c r="A24" s="3409"/>
      <c r="B24" s="3408"/>
      <c r="C24" s="3208" t="s">
        <v>3030</v>
      </c>
      <c r="D24" s="3209"/>
      <c r="E24" s="3209"/>
      <c r="F24" s="3209"/>
      <c r="G24" s="3209"/>
      <c r="H24" s="3211"/>
      <c r="I24" s="3211"/>
      <c r="J24" s="3212"/>
      <c r="K24" s="3209"/>
      <c r="L24" s="3213"/>
      <c r="M24" s="3213"/>
      <c r="N24" s="3214"/>
      <c r="O24" s="3195" t="e">
        <f t="shared" si="1"/>
        <v>#DIV/0!</v>
      </c>
      <c r="Q24" s="3218"/>
    </row>
    <row r="25" spans="1:21" s="3196" customFormat="1" ht="13.7" customHeight="1">
      <c r="A25" s="3409"/>
      <c r="B25" s="3408"/>
      <c r="C25" s="3208" t="s">
        <v>3031</v>
      </c>
      <c r="D25" s="3209"/>
      <c r="E25" s="3209"/>
      <c r="F25" s="3209"/>
      <c r="G25" s="3209"/>
      <c r="H25" s="3210"/>
      <c r="I25" s="3221"/>
      <c r="J25" s="3212"/>
      <c r="K25" s="3209"/>
      <c r="L25" s="3213"/>
      <c r="M25" s="3213"/>
      <c r="N25" s="3214"/>
      <c r="O25" s="3195" t="e">
        <f t="shared" si="1"/>
        <v>#DIV/0!</v>
      </c>
      <c r="Q25" s="3218"/>
    </row>
    <row r="26" spans="1:21" s="3196" customFormat="1" ht="13.7" customHeight="1">
      <c r="A26" s="3409"/>
      <c r="B26" s="3408"/>
      <c r="C26" s="3208" t="s">
        <v>3032</v>
      </c>
      <c r="D26" s="3209"/>
      <c r="E26" s="3209"/>
      <c r="F26" s="3209"/>
      <c r="G26" s="3209"/>
      <c r="H26" s="3211"/>
      <c r="I26" s="3211"/>
      <c r="J26" s="3212"/>
      <c r="K26" s="3209"/>
      <c r="L26" s="3213"/>
      <c r="M26" s="3213"/>
      <c r="N26" s="3214"/>
      <c r="O26" s="3195" t="e">
        <f t="shared" si="1"/>
        <v>#DIV/0!</v>
      </c>
      <c r="Q26" s="3218"/>
    </row>
    <row r="27" spans="1:21" s="3196" customFormat="1" ht="13.7" customHeight="1">
      <c r="A27" s="3409"/>
      <c r="B27" s="3408"/>
      <c r="C27" s="3208" t="s">
        <v>3033</v>
      </c>
      <c r="D27" s="3209"/>
      <c r="E27" s="3209"/>
      <c r="F27" s="3209"/>
      <c r="G27" s="3209"/>
      <c r="H27" s="3211"/>
      <c r="I27" s="3211"/>
      <c r="J27" s="3212"/>
      <c r="K27" s="3209"/>
      <c r="L27" s="3213"/>
      <c r="M27" s="3213"/>
      <c r="N27" s="3214"/>
      <c r="O27" s="3195" t="e">
        <f t="shared" si="1"/>
        <v>#DIV/0!</v>
      </c>
      <c r="Q27" s="3218"/>
    </row>
    <row r="28" spans="1:21" s="3196" customFormat="1" ht="13.7" customHeight="1" thickBot="1">
      <c r="A28" s="3409"/>
      <c r="B28" s="3408" t="s">
        <v>2974</v>
      </c>
      <c r="C28" s="3222" t="s">
        <v>3034</v>
      </c>
      <c r="D28" s="3209">
        <v>2000</v>
      </c>
      <c r="E28" s="3223">
        <v>2000</v>
      </c>
      <c r="F28" s="3209">
        <f>E28</f>
        <v>2000</v>
      </c>
      <c r="G28" s="3209">
        <f>F28</f>
        <v>2000</v>
      </c>
      <c r="H28" s="3224" t="s">
        <v>3035</v>
      </c>
      <c r="I28" s="3211"/>
      <c r="J28" s="3212"/>
      <c r="K28" s="3209"/>
      <c r="L28" s="3220">
        <v>45000</v>
      </c>
      <c r="M28" s="3213">
        <f>L28*G28/10000</f>
        <v>9000</v>
      </c>
      <c r="N28" s="3214" t="s">
        <v>1677</v>
      </c>
      <c r="O28" s="3195">
        <f t="shared" si="1"/>
        <v>1</v>
      </c>
      <c r="P28" s="3225"/>
      <c r="Q28" s="3218"/>
    </row>
    <row r="29" spans="1:21" s="3196" customFormat="1" ht="13.7" hidden="1" customHeight="1">
      <c r="A29" s="3409"/>
      <c r="B29" s="3408"/>
      <c r="C29" s="3222" t="s">
        <v>3036</v>
      </c>
      <c r="D29" s="3209"/>
      <c r="E29" s="3209"/>
      <c r="F29" s="3209"/>
      <c r="G29" s="3209"/>
      <c r="H29" s="3224"/>
      <c r="I29" s="3211"/>
      <c r="J29" s="3212"/>
      <c r="K29" s="3209"/>
      <c r="L29" s="3213"/>
      <c r="M29" s="3213"/>
      <c r="N29" s="3214"/>
    </row>
    <row r="30" spans="1:21" s="3196" customFormat="1" ht="13.7" hidden="1" customHeight="1">
      <c r="A30" s="3409"/>
      <c r="B30" s="3408"/>
      <c r="C30" s="3222" t="s">
        <v>3037</v>
      </c>
      <c r="D30" s="3209"/>
      <c r="E30" s="3209"/>
      <c r="F30" s="3209"/>
      <c r="G30" s="3209"/>
      <c r="H30" s="3224"/>
      <c r="I30" s="3211"/>
      <c r="J30" s="3212"/>
      <c r="K30" s="3209"/>
      <c r="L30" s="3213"/>
      <c r="M30" s="3213"/>
      <c r="N30" s="3214"/>
    </row>
    <row r="31" spans="1:21" s="3196" customFormat="1" ht="13.7" hidden="1" customHeight="1">
      <c r="A31" s="3409"/>
      <c r="B31" s="3408"/>
      <c r="C31" s="3222" t="s">
        <v>3038</v>
      </c>
      <c r="D31" s="3209"/>
      <c r="E31" s="3209"/>
      <c r="F31" s="3209"/>
      <c r="G31" s="3209"/>
      <c r="H31" s="3224"/>
      <c r="I31" s="3211"/>
      <c r="J31" s="3212"/>
      <c r="K31" s="3209"/>
      <c r="L31" s="3213"/>
      <c r="M31" s="3213"/>
      <c r="N31" s="3214"/>
    </row>
    <row r="32" spans="1:21" s="3196" customFormat="1" ht="13.7" customHeight="1" thickTop="1">
      <c r="A32" s="3409"/>
      <c r="B32" s="3226" t="s">
        <v>27</v>
      </c>
      <c r="C32" s="3227"/>
      <c r="D32" s="3228">
        <f>SUM(D16:D31)</f>
        <v>110208.99539942089</v>
      </c>
      <c r="E32" s="3228">
        <f>SUM(E16:E31)</f>
        <v>154715.32</v>
      </c>
      <c r="F32" s="3228">
        <f>SUM(F16:F31)</f>
        <v>154715.32</v>
      </c>
      <c r="G32" s="3228">
        <f>SUM(G16:G31)</f>
        <v>154715.32</v>
      </c>
      <c r="H32" s="3228"/>
      <c r="I32" s="3228"/>
      <c r="J32" s="3228">
        <f>SUM(J16:J31)</f>
        <v>1380</v>
      </c>
      <c r="K32" s="3228">
        <f>IFERROR(F32/J32,0)</f>
        <v>112.11255072463769</v>
      </c>
      <c r="L32" s="3228"/>
      <c r="M32" s="3410">
        <f>SUM(M16:N31)</f>
        <v>372446.64</v>
      </c>
      <c r="N32" s="3411"/>
      <c r="O32" s="3412" t="s">
        <v>3039</v>
      </c>
      <c r="P32" s="3413"/>
      <c r="T32" s="3403" t="s">
        <v>3040</v>
      </c>
      <c r="U32" s="3404"/>
    </row>
    <row r="33" spans="1:21" s="3196" customFormat="1" ht="27.6" hidden="1" customHeight="1">
      <c r="A33" s="3409"/>
      <c r="B33" s="3405" t="s">
        <v>3041</v>
      </c>
      <c r="C33" s="3204" t="s">
        <v>3042</v>
      </c>
      <c r="D33" s="3204" t="s">
        <v>3010</v>
      </c>
      <c r="E33" s="3204" t="s">
        <v>3003</v>
      </c>
      <c r="F33" s="3204" t="s">
        <v>2938</v>
      </c>
      <c r="G33" s="3204" t="s">
        <v>3002</v>
      </c>
      <c r="H33" s="3204" t="s">
        <v>3043</v>
      </c>
      <c r="I33" s="3204" t="s">
        <v>3044</v>
      </c>
      <c r="J33" s="3204" t="s">
        <v>3045</v>
      </c>
      <c r="K33" s="3204"/>
      <c r="L33" s="3204"/>
      <c r="M33" s="3204"/>
      <c r="N33" s="3229"/>
      <c r="O33" s="3230" t="s">
        <v>3046</v>
      </c>
      <c r="P33" s="3230" t="s">
        <v>3047</v>
      </c>
      <c r="Q33" s="3231" t="s">
        <v>3048</v>
      </c>
      <c r="T33" s="3232" t="s">
        <v>3046</v>
      </c>
      <c r="U33" s="3233" t="s">
        <v>3047</v>
      </c>
    </row>
    <row r="34" spans="1:21" s="3196" customFormat="1" ht="13.7" hidden="1" customHeight="1">
      <c r="A34" s="3409"/>
      <c r="B34" s="3406"/>
      <c r="C34" s="3222" t="s">
        <v>3049</v>
      </c>
      <c r="D34" s="3209"/>
      <c r="E34" s="3209"/>
      <c r="F34" s="3209"/>
      <c r="G34" s="3234"/>
      <c r="H34" s="3224"/>
      <c r="I34" s="3211"/>
      <c r="J34" s="3212"/>
      <c r="K34" s="3235"/>
      <c r="L34" s="3236"/>
      <c r="M34" s="3236"/>
      <c r="N34" s="3237"/>
      <c r="O34" s="3235">
        <f>IFERROR((HLOOKUP($C34,'[1]表6 分业态综合成本'!$E$159:$AF$302,4,0)+HLOOKUP($C34,'[1]表6 分业态综合成本'!$E$159:$AF$302,56,0))*$F34/10000/$H34*$J34,0)</f>
        <v>0</v>
      </c>
      <c r="P34" s="3235">
        <f>IFERROR((HLOOKUP($C34,'[1]表6 分业态综合成本'!$E$159:$AF$302,4,0)+HLOOKUP($C34,'[1]表6 分业态综合成本'!$E$159:$AF$302,56,0))*$F34/10000/$H34*($H34-$J34),0)</f>
        <v>0</v>
      </c>
      <c r="Q34" s="3238">
        <f>'[1]表2 项目总目标成本表'!AI1209/10000-'[1]表1 项目规划指标及收入计划'!O34-'[1]表1 项目规划指标及收入计划'!P34</f>
        <v>0</v>
      </c>
      <c r="T34" s="3239">
        <f>IFERROR(HLOOKUP($C34,'[1]表6 含增值税分业态综合成本'!$E$159:$AF$302,144,0)*'[1]表1 项目规划指标及收入计划'!$F34/10000,)-'[1]表1 项目规划指标及收入计划'!$U34</f>
        <v>0</v>
      </c>
      <c r="U34" s="3240">
        <f>P34+Q34</f>
        <v>0</v>
      </c>
    </row>
    <row r="35" spans="1:21" s="3196" customFormat="1" ht="13.7" hidden="1" customHeight="1">
      <c r="A35" s="3409"/>
      <c r="B35" s="3407"/>
      <c r="C35" s="3222" t="s">
        <v>3050</v>
      </c>
      <c r="D35" s="3209"/>
      <c r="E35" s="3209"/>
      <c r="F35" s="3209"/>
      <c r="G35" s="3234"/>
      <c r="H35" s="3224"/>
      <c r="I35" s="3211"/>
      <c r="J35" s="3212"/>
      <c r="K35" s="3235"/>
      <c r="L35" s="3236"/>
      <c r="M35" s="3236"/>
      <c r="N35" s="3237"/>
      <c r="O35" s="3235">
        <f>IFERROR((HLOOKUP($C35,'[1]表6 分业态综合成本'!$E$159:$AF$302,4,0)+HLOOKUP($C35,'[1]表6 分业态综合成本'!$E$159:$AF$302,56,0))*$F35/10000/$H35*$J35,0)</f>
        <v>0</v>
      </c>
      <c r="P35" s="3235">
        <f>IFERROR((HLOOKUP($C35,'[1]表6 分业态综合成本'!$E$159:$AF$302,4,0)+HLOOKUP($C35,'[1]表6 分业态综合成本'!$E$159:$AF$302,56,0))*$F35/10000/$H35*($H35-$J35),0)</f>
        <v>0</v>
      </c>
      <c r="Q35" s="3238">
        <f>'[1]表2 项目总目标成本表'!AJ1209/10000-'[1]表1 项目规划指标及收入计划'!O35-'[1]表1 项目规划指标及收入计划'!P35</f>
        <v>0</v>
      </c>
      <c r="T35" s="3239">
        <f>IFERROR(HLOOKUP($C35,'[1]表6 含增值税分业态综合成本'!$E$159:$AF$302,144,0)*'[1]表1 项目规划指标及收入计划'!$F35/10000,)-'[1]表1 项目规划指标及收入计划'!$U35</f>
        <v>0</v>
      </c>
      <c r="U35" s="3240">
        <f>P35+Q35</f>
        <v>0</v>
      </c>
    </row>
    <row r="36" spans="1:21" s="3196" customFormat="1" ht="13.7" hidden="1" customHeight="1">
      <c r="A36" s="3409"/>
      <c r="B36" s="3226" t="s">
        <v>27</v>
      </c>
      <c r="C36" s="3227"/>
      <c r="D36" s="3228">
        <f>SUM(D34:D35)</f>
        <v>0</v>
      </c>
      <c r="E36" s="3228">
        <f>SUM(E34:E35)</f>
        <v>0</v>
      </c>
      <c r="F36" s="3228">
        <f>SUM(F34:F35)</f>
        <v>0</v>
      </c>
      <c r="G36" s="3241"/>
      <c r="H36" s="3241"/>
      <c r="I36" s="3241"/>
      <c r="J36" s="3241"/>
      <c r="K36" s="3241"/>
      <c r="L36" s="3241"/>
      <c r="M36" s="3241"/>
      <c r="N36" s="3242"/>
      <c r="O36" s="3228">
        <f t="shared" ref="O36:U36" si="2">SUM(O34:O35)</f>
        <v>0</v>
      </c>
      <c r="P36" s="3228">
        <f t="shared" si="2"/>
        <v>0</v>
      </c>
      <c r="Q36" s="3243">
        <f>SUM(Q33:Q35)</f>
        <v>0</v>
      </c>
      <c r="T36" s="3244">
        <f t="shared" si="2"/>
        <v>0</v>
      </c>
      <c r="U36" s="3245">
        <f t="shared" si="2"/>
        <v>0</v>
      </c>
    </row>
    <row r="37" spans="1:21" s="3196" customFormat="1" ht="33" customHeight="1">
      <c r="A37" s="3409"/>
      <c r="B37" s="3408" t="s">
        <v>3051</v>
      </c>
      <c r="C37" s="3204" t="s">
        <v>3052</v>
      </c>
      <c r="D37" s="3204" t="s">
        <v>3010</v>
      </c>
      <c r="E37" s="3204" t="s">
        <v>3003</v>
      </c>
      <c r="F37" s="3204" t="s">
        <v>2938</v>
      </c>
      <c r="G37" s="3204" t="s">
        <v>3002</v>
      </c>
      <c r="H37" s="3204" t="s">
        <v>3043</v>
      </c>
      <c r="I37" s="3204" t="s">
        <v>3044</v>
      </c>
      <c r="J37" s="3204" t="s">
        <v>3045</v>
      </c>
      <c r="K37" s="3204" t="s">
        <v>3053</v>
      </c>
      <c r="L37" s="3204" t="s">
        <v>3054</v>
      </c>
      <c r="M37" s="3204" t="s">
        <v>3055</v>
      </c>
      <c r="N37" s="3229" t="s">
        <v>3056</v>
      </c>
      <c r="O37" s="3230" t="s">
        <v>3046</v>
      </c>
      <c r="P37" s="3230" t="s">
        <v>3047</v>
      </c>
      <c r="T37" s="3232" t="s">
        <v>3046</v>
      </c>
      <c r="U37" s="3233" t="s">
        <v>3047</v>
      </c>
    </row>
    <row r="38" spans="1:21" s="3196" customFormat="1" ht="14.25" customHeight="1">
      <c r="A38" s="3409"/>
      <c r="B38" s="3408"/>
      <c r="C38" s="3222" t="s">
        <v>3057</v>
      </c>
      <c r="D38" s="3209"/>
      <c r="E38" s="3246"/>
      <c r="F38" s="3246"/>
      <c r="G38" s="3246"/>
      <c r="H38" s="3246"/>
      <c r="I38" s="3246"/>
      <c r="J38" s="3246"/>
      <c r="K38" s="3247"/>
      <c r="L38" s="3248">
        <f>IFERROR(F38/K38,0)</f>
        <v>0</v>
      </c>
      <c r="M38" s="3249"/>
      <c r="N38" s="3250">
        <f>M38*K38/10000</f>
        <v>0</v>
      </c>
      <c r="O38" s="3235">
        <f>IF((HLOOKUP($C38,'[1]表6 分业态综合成本'!$E$159:$AF$302,144,0)*$F38/10000-$N38/1.11)&lt;0,0,IFERROR((HLOOKUP($C38,'[1]表6 分业态综合成本'!$E$159:$AF$302,144,0)*$F38/10000-$N38/1.11)/$H38*$J38,0))</f>
        <v>0</v>
      </c>
      <c r="P38" s="3235">
        <f>IF((HLOOKUP($C38,'[1]表6 分业态综合成本'!$E$159:$AF$302,144,0)*$F38/10000-$N38/1.11)&lt;0,0,IFERROR((HLOOKUP($C38,'[1]表6 分业态综合成本'!$E$159:$AF$302,144,0)*$F38/10000-$N38/1.11)/$H38*(H38-$J38),0))</f>
        <v>0</v>
      </c>
      <c r="T38" s="3239">
        <f>IF((HLOOKUP($C38,'[1]表6 分业态综合成本'!$E$159:$AF$302,144,0)*$F38/10000-$N38/1.11)&lt;0,0,IFERROR(HLOOKUP($C38,'[1]表6 含增值税分业态综合成本'!$E$159:$AF$302,144,0)*'[1]表1 项目规划指标及收入计划'!$F38/10000,)-$U38-$N38)</f>
        <v>0</v>
      </c>
      <c r="U38" s="3240">
        <f>P38</f>
        <v>0</v>
      </c>
    </row>
    <row r="39" spans="1:21" s="3196" customFormat="1" ht="14.25" customHeight="1">
      <c r="A39" s="3409"/>
      <c r="B39" s="3408"/>
      <c r="C39" s="3222" t="s">
        <v>3058</v>
      </c>
      <c r="D39" s="3234"/>
      <c r="E39" s="3234"/>
      <c r="F39" s="3234"/>
      <c r="G39" s="3234"/>
      <c r="H39" s="3234"/>
      <c r="I39" s="3234"/>
      <c r="J39" s="3234"/>
      <c r="K39" s="3247">
        <v>114</v>
      </c>
      <c r="L39" s="3234"/>
      <c r="M39" s="3234"/>
      <c r="N39" s="3251"/>
      <c r="O39" s="3252"/>
      <c r="P39" s="3252"/>
      <c r="T39" s="3253"/>
      <c r="U39" s="3254"/>
    </row>
    <row r="40" spans="1:21" s="3196" customFormat="1" ht="14.25" customHeight="1">
      <c r="A40" s="3409"/>
      <c r="B40" s="3408"/>
      <c r="C40" s="3222" t="s">
        <v>3059</v>
      </c>
      <c r="D40" s="3234"/>
      <c r="E40" s="3246"/>
      <c r="F40" s="3255">
        <v>77471.58</v>
      </c>
      <c r="G40" s="3246">
        <f>F40</f>
        <v>77471.58</v>
      </c>
      <c r="H40" s="3246">
        <f>$F$9</f>
        <v>110209</v>
      </c>
      <c r="I40" s="3246">
        <v>0</v>
      </c>
      <c r="J40" s="3246">
        <f>$F$9</f>
        <v>110209</v>
      </c>
      <c r="K40" s="3249">
        <v>552</v>
      </c>
      <c r="L40" s="3248">
        <f>IFERROR(F40/K40,0)</f>
        <v>140.3470652173913</v>
      </c>
      <c r="M40" s="3248"/>
      <c r="N40" s="3250">
        <f>M40*K40/10000</f>
        <v>0</v>
      </c>
      <c r="O40" s="3235">
        <f>IF((HLOOKUP($C40,'[1]表6 分业态综合成本'!$E$159:$AF$302,144,0)*$F40/10000-$N40/1.11)&lt;0,0,IFERROR((HLOOKUP($C40,'[1]表6 分业态综合成本'!$E$159:$AF$302,144,0)*$F40/10000-$N40/1.11)/$H40*$J40,0))</f>
        <v>22760.428020536598</v>
      </c>
      <c r="P40" s="3235">
        <f>IF((HLOOKUP($C40,'[1]表6 分业态综合成本'!$E$159:$AF$302,144,0)*$F40/10000-$N40/1.11)&lt;0,0,IFERROR((HLOOKUP($C40,'[1]表6 分业态综合成本'!$E$159:$AF$302,144,0)*$F40/10000-$N40/1.11)/$H40*(H40-$J40),0))</f>
        <v>0</v>
      </c>
      <c r="T40" s="3239">
        <f>IF((HLOOKUP($C40,'[1]表6 分业态综合成本'!$E$159:$AF$302,144,0)*$F40/10000-$N40/1.11)&lt;0,0,IFERROR(HLOOKUP($C40,'[1]表6 含增值税分业态综合成本'!$E$159:$AF$302,144,0)*'[1]表1 项目规划指标及收入计划'!$F40/10000,)-$U40-$N40)</f>
        <v>24991.20472951077</v>
      </c>
      <c r="U40" s="3240">
        <f>P40</f>
        <v>0</v>
      </c>
    </row>
    <row r="41" spans="1:21" s="3196" customFormat="1" ht="14.25" customHeight="1">
      <c r="A41" s="3409"/>
      <c r="B41" s="3408"/>
      <c r="C41" s="3222" t="s">
        <v>3060</v>
      </c>
      <c r="D41" s="3234"/>
      <c r="E41" s="3246"/>
      <c r="F41" s="3246">
        <v>9400</v>
      </c>
      <c r="G41" s="3246"/>
      <c r="H41" s="3246">
        <f>H40+102900</f>
        <v>213109</v>
      </c>
      <c r="I41" s="3246">
        <f>H41-J41</f>
        <v>102900</v>
      </c>
      <c r="J41" s="3246">
        <f>$F$9</f>
        <v>110209</v>
      </c>
      <c r="K41" s="3249">
        <v>240</v>
      </c>
      <c r="L41" s="3248">
        <f>IFERROR(F41/K41,0)</f>
        <v>39.166666666666664</v>
      </c>
      <c r="M41" s="3248"/>
      <c r="N41" s="3250">
        <f>M41*K41/10000</f>
        <v>0</v>
      </c>
      <c r="O41" s="3235">
        <f>IF((HLOOKUP($C41,'[1]表6 分业态综合成本'!$E$159:$AF$302,144,0)*$F41/10000-$N41/1.11)&lt;0,0,IFERROR((HLOOKUP($C41,'[1]表6 分业态综合成本'!$E$159:$AF$302,144,0)*$F41/10000-$N41/1.11)/$H41*$J41,0))</f>
        <v>1788.7927509612362</v>
      </c>
      <c r="P41" s="3235">
        <f>IF((HLOOKUP($C41,'[1]表6 分业态综合成本'!$E$159:$AF$302,144,0)*$F41/10000-$N41/1.11)&lt;0,0,IFERROR((HLOOKUP($C41,'[1]表6 分业态综合成本'!$E$159:$AF$302,144,0)*$F41/10000-$N41/1.11)/$H41*(H41-$J41),0))</f>
        <v>1670.1610038555036</v>
      </c>
      <c r="Q41" s="3225"/>
      <c r="T41" s="3239">
        <f>IF((HLOOKUP($C41,'[1]表6 分业态综合成本'!$E$159:$AF$302,144,0)*$F41/10000-$N41/1.11)&lt;0,0,IFERROR(HLOOKUP($C41,'[1]表6 含增值税分业态综合成本'!$E$159:$AF$302,144,0)*'[1]表1 项目规划指标及收入计划'!$F41/10000,)-$U41-$N41)</f>
        <v>2143.3689861177836</v>
      </c>
      <c r="U41" s="3240">
        <f>P41</f>
        <v>1670.1610038555036</v>
      </c>
    </row>
    <row r="42" spans="1:21" s="3196" customFormat="1" ht="20.100000000000001" customHeight="1">
      <c r="A42" s="3409"/>
      <c r="B42" s="3226" t="s">
        <v>27</v>
      </c>
      <c r="C42" s="3227"/>
      <c r="D42" s="3228">
        <f>SUM(D38:D41)</f>
        <v>0</v>
      </c>
      <c r="E42" s="3228">
        <f>SUM(E38:E41)</f>
        <v>0</v>
      </c>
      <c r="F42" s="3228">
        <f>SUM(F38:F41)</f>
        <v>86871.58</v>
      </c>
      <c r="G42" s="3228">
        <f>+G38</f>
        <v>0</v>
      </c>
      <c r="H42" s="3241"/>
      <c r="I42" s="3241"/>
      <c r="J42" s="3241"/>
      <c r="K42" s="3228">
        <f t="shared" ref="K42:P42" si="3">SUM(K38:K41)</f>
        <v>906</v>
      </c>
      <c r="L42" s="3228">
        <f>IFERROR(F42/K42,0)</f>
        <v>95.884746136865346</v>
      </c>
      <c r="M42" s="3228">
        <f>IFERROR(N42/K42*10000,0)</f>
        <v>0</v>
      </c>
      <c r="N42" s="3256">
        <f t="shared" si="3"/>
        <v>0</v>
      </c>
      <c r="O42" s="3228">
        <f t="shared" si="3"/>
        <v>24549.220771497832</v>
      </c>
      <c r="P42" s="3228">
        <f t="shared" si="3"/>
        <v>1670.1610038555036</v>
      </c>
      <c r="T42" s="3244">
        <f>SUM(T38:T41)</f>
        <v>27134.573715628554</v>
      </c>
      <c r="U42" s="3245">
        <f>SUM(U38:U41)</f>
        <v>1670.1610038555036</v>
      </c>
    </row>
    <row r="43" spans="1:21" s="3196" customFormat="1" ht="28.9" hidden="1" customHeight="1">
      <c r="A43" s="3409" t="s">
        <v>3061</v>
      </c>
      <c r="B43" s="3257"/>
      <c r="C43" s="3204" t="s">
        <v>3062</v>
      </c>
      <c r="D43" s="3204" t="s">
        <v>3010</v>
      </c>
      <c r="E43" s="3204" t="s">
        <v>3003</v>
      </c>
      <c r="F43" s="3204" t="s">
        <v>2938</v>
      </c>
      <c r="G43" s="3204" t="s">
        <v>3002</v>
      </c>
      <c r="H43" s="3204" t="s">
        <v>3043</v>
      </c>
      <c r="I43" s="3204" t="s">
        <v>3044</v>
      </c>
      <c r="J43" s="3204" t="s">
        <v>3045</v>
      </c>
      <c r="K43" s="3258" t="s">
        <v>3063</v>
      </c>
      <c r="L43" s="3416" t="s">
        <v>3064</v>
      </c>
      <c r="M43" s="3417"/>
      <c r="N43" s="3417"/>
      <c r="O43" s="3230" t="s">
        <v>3046</v>
      </c>
      <c r="P43" s="3230" t="s">
        <v>3047</v>
      </c>
      <c r="Q43" s="3231" t="s">
        <v>3065</v>
      </c>
      <c r="R43" s="3259" t="s">
        <v>3066</v>
      </c>
      <c r="T43" s="3232" t="s">
        <v>3046</v>
      </c>
      <c r="U43" s="3233" t="s">
        <v>3047</v>
      </c>
    </row>
    <row r="44" spans="1:21" s="3196" customFormat="1" ht="15" hidden="1" customHeight="1">
      <c r="A44" s="3409"/>
      <c r="B44" s="3408" t="s">
        <v>3067</v>
      </c>
      <c r="C44" s="3260" t="s">
        <v>3068</v>
      </c>
      <c r="D44" s="3209"/>
      <c r="E44" s="3209"/>
      <c r="F44" s="3246"/>
      <c r="G44" s="3234"/>
      <c r="H44" s="3246"/>
      <c r="I44" s="3209"/>
      <c r="J44" s="3246"/>
      <c r="K44" s="3212" t="s">
        <v>3069</v>
      </c>
      <c r="L44" s="3418"/>
      <c r="M44" s="3419"/>
      <c r="N44" s="3419"/>
      <c r="O44" s="3235">
        <f>IF(OR($K44="无产权",$K44="有产权-不接收"),IFERROR(HLOOKUP($C44,'[1]表6 分业态综合成本'!$E$159:$AF$302,143,0)*$F44/10000/$H44*$J44,0),IFERROR((HLOOKUP($C44,'[1]表6 分业态综合成本'!$E$159:$AF$302,4,0)+HLOOKUP($C44,'[1]表6 分业态综合成本'!$E$159:$AF$302,56,0))*$F44/10000/$H44*$J44,0))</f>
        <v>0</v>
      </c>
      <c r="P44" s="3235">
        <f>IF(OR($K44="无产权",$K44="有产权-不接收"),IFERROR(HLOOKUP($C44,'[1]表6 分业态综合成本'!$E$159:$AF$302,143,0)*$F44/10000/$H44*($H44-$J44),0),IFERROR((HLOOKUP($C44,'[1]表6 分业态综合成本'!$E$159:$AF$302,4,0)+HLOOKUP($C44,'[1]表6 分业态综合成本'!$E$159:$AF$302,56,0))*$F44/10000/$H44*($H44-$J44),0))</f>
        <v>0</v>
      </c>
      <c r="Q44" s="3238">
        <f>IF(OR($K44="有产权资产",$K44="有产权-接收"),IFERROR(HLOOKUP($C44,'[1]表6 分业态综合成本'!$E$159:$AF$302,143,0)-HLOOKUP($C44,'[1]表6 分业态综合成本'!$E$159:$AF$302,4,0)-HLOOKUP($C44,'[1]表6 分业态综合成本'!$E$159:$AF$302,56,0),0)*$F44/10000,0)</f>
        <v>0</v>
      </c>
      <c r="R44" s="3261" t="b">
        <f>SUM($O44:$Q44)=IFERROR(HLOOKUP($C44,'[1]表2 项目总目标成本表'!$A$4:$IV$1209,MATCH('[1]表2 项目总目标成本表'!$B$1209,'[1]表2 项目总目标成本表'!$B$1:$B$65536,0)-3,0)/10000,0)</f>
        <v>1</v>
      </c>
      <c r="T44" s="3239">
        <f>IFERROR(HLOOKUP($C44,'[1]表6 含增值税分业态综合成本'!$E$159:$AF$302,144,0)*'[1]表1 项目规划指标及收入计划'!$F44/10000,)-'[1]表1 项目规划指标及收入计划'!$U44</f>
        <v>0</v>
      </c>
      <c r="U44" s="3240">
        <f>P44+Q44</f>
        <v>0</v>
      </c>
    </row>
    <row r="45" spans="1:21" s="3196" customFormat="1" ht="15" hidden="1" customHeight="1">
      <c r="A45" s="3409"/>
      <c r="B45" s="3408"/>
      <c r="C45" s="3260" t="s">
        <v>3070</v>
      </c>
      <c r="D45" s="3209"/>
      <c r="E45" s="3209"/>
      <c r="F45" s="3246"/>
      <c r="G45" s="3234"/>
      <c r="H45" s="3246"/>
      <c r="I45" s="3209"/>
      <c r="J45" s="3246"/>
      <c r="K45" s="3212" t="s">
        <v>3069</v>
      </c>
      <c r="L45" s="3418"/>
      <c r="M45" s="3419"/>
      <c r="N45" s="3419"/>
      <c r="O45" s="3235">
        <f>IF(OR($K45="无产权",$K45="有产权-不接收"),IFERROR(HLOOKUP($C45,'[1]表6 分业态综合成本'!$E$159:$AF$302,143,0)*$F45/10000/$H45*$J45,0),IFERROR((HLOOKUP($C45,'[1]表6 分业态综合成本'!$E$159:$AF$302,4,0)+HLOOKUP($C45,'[1]表6 分业态综合成本'!$E$159:$AF$302,56,0))*$F45/10000/$H45*$J45,0))</f>
        <v>0</v>
      </c>
      <c r="P45" s="3235">
        <f>IF(OR($K45="无产权",$K45="有产权-不接收"),IFERROR(HLOOKUP($C45,'[1]表6 分业态综合成本'!$E$159:$AF$302,143,0)*$F45/10000/$H45*($H45-$J45),0),IFERROR((HLOOKUP($C45,'[1]表6 分业态综合成本'!$E$159:$AF$302,4,0)+HLOOKUP($C45,'[1]表6 分业态综合成本'!$E$159:$AF$302,56,0))*$F45/10000/$H45*($H45-$J45),0))</f>
        <v>0</v>
      </c>
      <c r="Q45" s="3238">
        <f>IF(OR($K45="有产权资产",$K45="有产权-接收"),IFERROR(HLOOKUP($C45,'[1]表6 分业态综合成本'!$E$159:$AF$302,143,0)-HLOOKUP($C45,'[1]表6 分业态综合成本'!$E$159:$AF$302,4,0)-HLOOKUP($C45,'[1]表6 分业态综合成本'!$E$159:$AF$302,56,0),0)*$F45/10000,0)</f>
        <v>0</v>
      </c>
      <c r="R45" s="3261" t="b">
        <f>SUM($O45:$Q45)=IFERROR(HLOOKUP($C45,'[1]表2 项目总目标成本表'!$A$4:$IV$1209,MATCH('[1]表2 项目总目标成本表'!$B$1209,'[1]表2 项目总目标成本表'!$B$1:$B$65536,0)-3,0)/10000,0)</f>
        <v>1</v>
      </c>
      <c r="T45" s="3239">
        <f>IFERROR(HLOOKUP($C45,'[1]表6 含增值税分业态综合成本'!$E$159:$AF$302,144,0)*'[1]表1 项目规划指标及收入计划'!$F45/10000,)-'[1]表1 项目规划指标及收入计划'!$U45</f>
        <v>0</v>
      </c>
      <c r="U45" s="3240">
        <f t="shared" ref="U45:U51" si="4">P45+Q45</f>
        <v>0</v>
      </c>
    </row>
    <row r="46" spans="1:21" s="3196" customFormat="1" ht="15" hidden="1" customHeight="1">
      <c r="A46" s="3409"/>
      <c r="B46" s="3408"/>
      <c r="C46" s="3260" t="s">
        <v>3071</v>
      </c>
      <c r="D46" s="3209"/>
      <c r="E46" s="3209"/>
      <c r="F46" s="3246"/>
      <c r="G46" s="3234"/>
      <c r="H46" s="3246"/>
      <c r="I46" s="3209"/>
      <c r="J46" s="3246"/>
      <c r="K46" s="3212" t="s">
        <v>3069</v>
      </c>
      <c r="L46" s="3418"/>
      <c r="M46" s="3419"/>
      <c r="N46" s="3419"/>
      <c r="O46" s="3235">
        <f>IF(OR($K46="无产权",$K46="有产权-不接收"),IFERROR(HLOOKUP($C46,'[1]表6 分业态综合成本'!$E$159:$AF$302,143,0)*$F46/10000/$H46*$J46,0),IFERROR((HLOOKUP($C46,'[1]表6 分业态综合成本'!$E$159:$AF$302,4,0)+HLOOKUP($C46,'[1]表6 分业态综合成本'!$E$159:$AF$302,56,0))*$F46/10000/$H46*$J46,0))</f>
        <v>0</v>
      </c>
      <c r="P46" s="3235">
        <f>IF(OR($K46="无产权",$K46="有产权-不接收"),IFERROR(HLOOKUP($C46,'[1]表6 分业态综合成本'!$E$159:$AF$302,143,0)*$F46/10000/$H46*($H46-$J46),0),IFERROR((HLOOKUP($C46,'[1]表6 分业态综合成本'!$E$159:$AF$302,4,0)+HLOOKUP($C46,'[1]表6 分业态综合成本'!$E$159:$AF$302,56,0))*$F46/10000/$H46*($H46-$J46),0))</f>
        <v>0</v>
      </c>
      <c r="Q46" s="3238">
        <f>IF(OR($K46="有产权资产",$K46="有产权-接收"),IFERROR(HLOOKUP($C46,'[1]表6 分业态综合成本'!$E$159:$AF$302,143,0)-HLOOKUP($C46,'[1]表6 分业态综合成本'!$E$159:$AF$302,4,0)-HLOOKUP($C46,'[1]表6 分业态综合成本'!$E$159:$AF$302,56,0),0)*$F46/10000,0)</f>
        <v>0</v>
      </c>
      <c r="R46" s="3261" t="b">
        <f>SUM($O46:$Q46)=IFERROR(HLOOKUP($C46,'[1]表2 项目总目标成本表'!$A$4:$IV$1209,MATCH('[1]表2 项目总目标成本表'!$B$1209,'[1]表2 项目总目标成本表'!$B$1:$B$65536,0)-3,0)/10000,0)</f>
        <v>1</v>
      </c>
      <c r="T46" s="3239">
        <f>IFERROR(HLOOKUP($C46,'[1]表6 含增值税分业态综合成本'!$E$159:$AF$302,144,0)*'[1]表1 项目规划指标及收入计划'!$F46/10000,)-'[1]表1 项目规划指标及收入计划'!$U46</f>
        <v>0</v>
      </c>
      <c r="U46" s="3240">
        <f t="shared" si="4"/>
        <v>0</v>
      </c>
    </row>
    <row r="47" spans="1:21" s="3196" customFormat="1" ht="15" hidden="1" customHeight="1">
      <c r="A47" s="3409"/>
      <c r="B47" s="3408"/>
      <c r="C47" s="3260" t="s">
        <v>3072</v>
      </c>
      <c r="D47" s="3209"/>
      <c r="E47" s="3209"/>
      <c r="F47" s="3209"/>
      <c r="G47" s="3234"/>
      <c r="H47" s="3246"/>
      <c r="I47" s="3209"/>
      <c r="J47" s="3246"/>
      <c r="K47" s="3212" t="s">
        <v>3069</v>
      </c>
      <c r="L47" s="3418"/>
      <c r="M47" s="3419"/>
      <c r="N47" s="3419"/>
      <c r="O47" s="3235">
        <f>IF(OR($K47="无产权",$K47="有产权-不接收"),IFERROR(HLOOKUP($C47,'[1]表6 分业态综合成本'!$E$159:$AF$302,143,0)*$F47/10000/$H47*$J47,0),IFERROR((HLOOKUP($C47,'[1]表6 分业态综合成本'!$E$159:$AF$302,4,0)+HLOOKUP($C47,'[1]表6 分业态综合成本'!$E$159:$AF$302,56,0))*$F47/10000/$H47*$J47,0))</f>
        <v>0</v>
      </c>
      <c r="P47" s="3235">
        <f>IF(OR($K47="无产权",$K47="有产权-不接收"),IFERROR(HLOOKUP($C47,'[1]表6 分业态综合成本'!$E$159:$AF$302,143,0)*$F47/10000/$H47*($H47-$J47),0),IFERROR((HLOOKUP($C47,'[1]表6 分业态综合成本'!$E$159:$AF$302,4,0)+HLOOKUP($C47,'[1]表6 分业态综合成本'!$E$159:$AF$302,56,0))*$F47/10000/$H47*($H47-$J47),0))</f>
        <v>0</v>
      </c>
      <c r="Q47" s="3238">
        <f>IF(OR($K47="有产权资产",$K47="有产权-接收"),IFERROR(HLOOKUP($C47,'[1]表6 分业态综合成本'!$E$159:$AF$302,143,0)-HLOOKUP($C47,'[1]表6 分业态综合成本'!$E$159:$AF$302,4,0)-HLOOKUP($C47,'[1]表6 分业态综合成本'!$E$159:$AF$302,56,0),0)*$F47/10000,0)</f>
        <v>0</v>
      </c>
      <c r="R47" s="3261" t="b">
        <f>SUM($O47:$Q47)=IFERROR(HLOOKUP($C47,'[1]表2 项目总目标成本表'!$A$4:$IV$1209,MATCH('[1]表2 项目总目标成本表'!$B$1209,'[1]表2 项目总目标成本表'!$B$1:$B$65536,0)-3,0)/10000,0)</f>
        <v>1</v>
      </c>
      <c r="T47" s="3239">
        <f>IFERROR(HLOOKUP($C47,'[1]表6 含增值税分业态综合成本'!$E$159:$AF$302,144,0)*'[1]表1 项目规划指标及收入计划'!$F47/10000,)-'[1]表1 项目规划指标及收入计划'!$U47</f>
        <v>0</v>
      </c>
      <c r="U47" s="3240">
        <f t="shared" si="4"/>
        <v>0</v>
      </c>
    </row>
    <row r="48" spans="1:21" s="3196" customFormat="1" ht="15" hidden="1" customHeight="1">
      <c r="A48" s="3409"/>
      <c r="B48" s="3408"/>
      <c r="C48" s="3260" t="s">
        <v>3073</v>
      </c>
      <c r="D48" s="3209"/>
      <c r="E48" s="3209"/>
      <c r="F48" s="3246"/>
      <c r="G48" s="3234"/>
      <c r="H48" s="3246"/>
      <c r="I48" s="3246"/>
      <c r="J48" s="3246"/>
      <c r="K48" s="3212" t="s">
        <v>3069</v>
      </c>
      <c r="L48" s="3418"/>
      <c r="M48" s="3419"/>
      <c r="N48" s="3419"/>
      <c r="O48" s="3235">
        <f>IF(OR($K48="无产权",$K48="有产权-不接收"),IFERROR(HLOOKUP($C48,'[1]表6 分业态综合成本'!$E$159:$AF$302,143,0)*$F48/10000/$H48*$J48,0),IFERROR((HLOOKUP($C48,'[1]表6 分业态综合成本'!$E$159:$AF$302,4,0)+HLOOKUP($C48,'[1]表6 分业态综合成本'!$E$159:$AF$302,56,0))*$F48/10000/$H48*$J48,0))</f>
        <v>0</v>
      </c>
      <c r="P48" s="3235">
        <f>IF(OR($K48="无产权",$K48="有产权-不接收"),IFERROR(HLOOKUP($C48,'[1]表6 分业态综合成本'!$E$159:$AF$302,143,0)*$F48/10000/$H48*($H48-$J48),0),IFERROR((HLOOKUP($C48,'[1]表6 分业态综合成本'!$E$159:$AF$302,4,0)+HLOOKUP($C48,'[1]表6 分业态综合成本'!$E$159:$AF$302,56,0))*$F48/10000/$H48*($H48-$J48),0))</f>
        <v>0</v>
      </c>
      <c r="Q48" s="3238">
        <f>IF(OR($K48="有产权资产",$K48="有产权-接收"),IFERROR(HLOOKUP($C48,'[1]表6 分业态综合成本'!$E$159:$AF$302,143,0)-HLOOKUP($C48,'[1]表6 分业态综合成本'!$E$159:$AF$302,4,0)-HLOOKUP($C48,'[1]表6 分业态综合成本'!$E$159:$AF$302,56,0),0)*$F48/10000,0)</f>
        <v>0</v>
      </c>
      <c r="R48" s="3261" t="b">
        <f>SUM($O48:$Q48)=IFERROR(HLOOKUP($C48,'[1]表2 项目总目标成本表'!$A$4:$IV$1209,MATCH('[1]表2 项目总目标成本表'!$B$1209,'[1]表2 项目总目标成本表'!$B$1:$B$65536,0)-3,0)/10000,0)</f>
        <v>1</v>
      </c>
      <c r="T48" s="3239">
        <f>IFERROR(HLOOKUP($C48,'[1]表6 含增值税分业态综合成本'!$E$159:$AF$302,144,0)*'[1]表1 项目规划指标及收入计划'!$F48/10000,)-'[1]表1 项目规划指标及收入计划'!$U48</f>
        <v>0</v>
      </c>
      <c r="U48" s="3240">
        <f t="shared" si="4"/>
        <v>0</v>
      </c>
    </row>
    <row r="49" spans="1:21" s="3196" customFormat="1" ht="15" hidden="1" customHeight="1">
      <c r="A49" s="3409"/>
      <c r="B49" s="3408"/>
      <c r="C49" s="3260" t="s">
        <v>3074</v>
      </c>
      <c r="D49" s="3209"/>
      <c r="E49" s="3209"/>
      <c r="F49" s="3209"/>
      <c r="G49" s="3234"/>
      <c r="H49" s="3246"/>
      <c r="I49" s="3246"/>
      <c r="J49" s="3246"/>
      <c r="K49" s="3212" t="s">
        <v>3075</v>
      </c>
      <c r="L49" s="3418"/>
      <c r="M49" s="3419"/>
      <c r="N49" s="3419"/>
      <c r="O49" s="3235">
        <f>IF(OR($K49="无产权",$K49="有产权-不接收"),IFERROR(HLOOKUP($C49,'[1]表6 分业态综合成本'!$E$159:$AF$302,143,0)*$F49/10000/$H49*$J49,0),IFERROR((HLOOKUP($C49,'[1]表6 分业态综合成本'!$E$159:$AF$302,4,0)+HLOOKUP($C49,'[1]表6 分业态综合成本'!$E$159:$AF$302,56,0))*$F49/10000/$H49*$J49,0))</f>
        <v>0</v>
      </c>
      <c r="P49" s="3235">
        <f>IF(OR($K49="无产权",$K49="有产权-不接收"),IFERROR(HLOOKUP($C49,'[1]表6 分业态综合成本'!$E$159:$AF$302,143,0)*$F49/10000/$H49*($H49-$J49),0),IFERROR((HLOOKUP($C49,'[1]表6 分业态综合成本'!$E$159:$AF$302,4,0)+HLOOKUP($C49,'[1]表6 分业态综合成本'!$E$159:$AF$302,56,0))*$F49/10000/$H49*($H49-$J49),0))</f>
        <v>0</v>
      </c>
      <c r="Q49" s="3238">
        <f>IF(OR($K49="有产权资产",$K49="有产权-接收"),IFERROR(HLOOKUP($C49,'[1]表6 分业态综合成本'!$E$159:$AF$302,143,0)-HLOOKUP($C49,'[1]表6 分业态综合成本'!$E$159:$AF$302,4,0)-HLOOKUP($C49,'[1]表6 分业态综合成本'!$E$159:$AF$302,56,0),0)*$F49/10000,0)</f>
        <v>0</v>
      </c>
      <c r="R49" s="3261" t="b">
        <f>SUM($O49:$Q49)=IFERROR(HLOOKUP($C49,'[1]表2 项目总目标成本表'!$A$4:$IV$1209,MATCH('[1]表2 项目总目标成本表'!$B$1209,'[1]表2 项目总目标成本表'!$B$1:$B$65536,0)-3,0)/10000,0)</f>
        <v>1</v>
      </c>
      <c r="T49" s="3239">
        <f>IFERROR(HLOOKUP($C49,'[1]表6 含增值税分业态综合成本'!$E$159:$AF$302,144,0)*'[1]表1 项目规划指标及收入计划'!$F49/10000,)-'[1]表1 项目规划指标及收入计划'!$U49</f>
        <v>0</v>
      </c>
      <c r="U49" s="3240">
        <f t="shared" si="4"/>
        <v>0</v>
      </c>
    </row>
    <row r="50" spans="1:21" s="3196" customFormat="1" ht="15" hidden="1" customHeight="1">
      <c r="A50" s="3409"/>
      <c r="B50" s="3408"/>
      <c r="C50" s="3260" t="s">
        <v>3076</v>
      </c>
      <c r="D50" s="3262"/>
      <c r="E50" s="3263"/>
      <c r="F50" s="3209"/>
      <c r="G50" s="3234"/>
      <c r="H50" s="3249"/>
      <c r="I50" s="3246"/>
      <c r="J50" s="3246"/>
      <c r="K50" s="3212" t="s">
        <v>3077</v>
      </c>
      <c r="L50" s="3418"/>
      <c r="M50" s="3419"/>
      <c r="N50" s="3419"/>
      <c r="O50" s="3235">
        <f>IF(OR($K50="无产权",$K50="有产权-不接收"),IFERROR(HLOOKUP($C50,'[1]表6 分业态综合成本'!$E$159:$AF$302,143,0)*$F50/10000/$H50*$J50,0),IFERROR((HLOOKUP($C50,'[1]表6 分业态综合成本'!$E$159:$AF$302,4,0)+HLOOKUP($C50,'[1]表6 分业态综合成本'!$E$159:$AF$302,56,0))*$F50/10000/$H50*$J50,0))</f>
        <v>0</v>
      </c>
      <c r="P50" s="3235">
        <f>IF(OR($K50="无产权",$K50="有产权-不接收"),IFERROR(HLOOKUP($C50,'[1]表6 分业态综合成本'!$E$159:$AF$302,143,0)*$F50/10000/$H50*($H50-$J50),0),IFERROR((HLOOKUP($C50,'[1]表6 分业态综合成本'!$E$159:$AF$302,4,0)+HLOOKUP($C50,'[1]表6 分业态综合成本'!$E$159:$AF$302,56,0))*$F50/10000/$H50*($H50-$J50),0))</f>
        <v>0</v>
      </c>
      <c r="Q50" s="3238">
        <f>IF(OR($K50="有产权资产",$K50="有产权-接收"),IFERROR(HLOOKUP($C50,'[1]表6 分业态综合成本'!$E$159:$AF$302,143,0)-HLOOKUP($C50,'[1]表6 分业态综合成本'!$E$159:$AF$302,4,0)-HLOOKUP($C50,'[1]表6 分业态综合成本'!$E$159:$AF$302,56,0),0)*$F50/10000,0)</f>
        <v>0</v>
      </c>
      <c r="R50" s="3261" t="b">
        <f>SUM($O50:$Q50)=IFERROR(HLOOKUP($C50,'[1]表2 项目总目标成本表'!$A$4:$IV$1209,MATCH('[1]表2 项目总目标成本表'!$B$1209,'[1]表2 项目总目标成本表'!$B$1:$B$65536,0)-3,0)/10000,0)</f>
        <v>1</v>
      </c>
      <c r="T50" s="3239">
        <f>IFERROR(HLOOKUP($C50,'[1]表6 含增值税分业态综合成本'!$E$159:$AF$302,144,0)*'[1]表1 项目规划指标及收入计划'!$F50/10000,)-'[1]表1 项目规划指标及收入计划'!$U50</f>
        <v>0</v>
      </c>
      <c r="U50" s="3240">
        <f t="shared" si="4"/>
        <v>0</v>
      </c>
    </row>
    <row r="51" spans="1:21" s="3196" customFormat="1" ht="15" hidden="1" customHeight="1">
      <c r="A51" s="3409"/>
      <c r="B51" s="3408"/>
      <c r="C51" s="3260" t="s">
        <v>3078</v>
      </c>
      <c r="D51" s="3209"/>
      <c r="E51" s="3209"/>
      <c r="F51" s="3209"/>
      <c r="G51" s="3234"/>
      <c r="H51" s="3249"/>
      <c r="I51" s="3246"/>
      <c r="J51" s="3246"/>
      <c r="K51" s="3212" t="s">
        <v>3069</v>
      </c>
      <c r="L51" s="3418"/>
      <c r="M51" s="3419"/>
      <c r="N51" s="3419"/>
      <c r="O51" s="3235">
        <f>IF(OR($K51="无产权",$K51="有产权-不接收"),IFERROR(HLOOKUP($C51,'[1]表6 分业态综合成本'!$E$159:$AF$302,143,0)*$F51/10000/$H51*$J51,0),IFERROR((HLOOKUP($C51,'[1]表6 分业态综合成本'!$E$159:$AF$302,4,0)+HLOOKUP($C51,'[1]表6 分业态综合成本'!$E$159:$AF$302,56,0))*$F51/10000/$H51*$J51,0))</f>
        <v>0</v>
      </c>
      <c r="P51" s="3235">
        <f>IF(OR($K51="无产权",$K51="有产权-不接收"),IFERROR(HLOOKUP($C51,'[1]表6 分业态综合成本'!$E$159:$AF$302,143,0)*$F51/10000/$H51*($H51-$J51),0),IFERROR((HLOOKUP($C51,'[1]表6 分业态综合成本'!$E$159:$AF$302,4,0)+HLOOKUP($C51,'[1]表6 分业态综合成本'!$E$159:$AF$302,56,0))*$F51/10000/$H51*($H51-$J51),0))</f>
        <v>0</v>
      </c>
      <c r="Q51" s="3238">
        <f>IF(OR($K51="有产权资产",$K51="有产权-接收"),IFERROR(HLOOKUP($C51,'[1]表6 分业态综合成本'!$E$159:$AF$302,143,0)-HLOOKUP($C51,'[1]表6 分业态综合成本'!$E$159:$AF$302,4,0)-HLOOKUP($C51,'[1]表6 分业态综合成本'!$E$159:$AF$302,56,0),0)*$F51/10000,0)</f>
        <v>0</v>
      </c>
      <c r="R51" s="3261" t="b">
        <f>SUM($O51:$Q51)=IFERROR(HLOOKUP($C51,'[1]表2 项目总目标成本表'!$A$4:$IV$1209,MATCH('[1]表2 项目总目标成本表'!$B$1209,'[1]表2 项目总目标成本表'!$B$1:$B$65536,0)-3,0)/10000,0)</f>
        <v>1</v>
      </c>
      <c r="T51" s="3239">
        <f>IFERROR(HLOOKUP($C51,'[1]表6 含增值税分业态综合成本'!$E$159:$AF$302,144,0)*'[1]表1 项目规划指标及收入计划'!$F51/10000,)-'[1]表1 项目规划指标及收入计划'!$U51</f>
        <v>0</v>
      </c>
      <c r="U51" s="3240">
        <f t="shared" si="4"/>
        <v>0</v>
      </c>
    </row>
    <row r="52" spans="1:21" s="3196" customFormat="1" ht="15" hidden="1" customHeight="1">
      <c r="A52" s="3409"/>
      <c r="B52" s="3408" t="s">
        <v>3079</v>
      </c>
      <c r="C52" s="3222" t="s">
        <v>3080</v>
      </c>
      <c r="D52" s="3234"/>
      <c r="E52" s="3209"/>
      <c r="F52" s="3209"/>
      <c r="G52" s="3234"/>
      <c r="H52" s="3234"/>
      <c r="I52" s="3234"/>
      <c r="J52" s="3234"/>
      <c r="K52" s="3234"/>
      <c r="L52" s="3418"/>
      <c r="M52" s="3419"/>
      <c r="N52" s="3419"/>
      <c r="O52" s="3252"/>
      <c r="P52" s="3252"/>
      <c r="Q52" s="3264" t="s">
        <v>3081</v>
      </c>
      <c r="R52" s="3261"/>
      <c r="T52" s="3253"/>
      <c r="U52" s="3254"/>
    </row>
    <row r="53" spans="1:21" s="3196" customFormat="1" ht="15" hidden="1" customHeight="1">
      <c r="A53" s="3409"/>
      <c r="B53" s="3408"/>
      <c r="C53" s="3222" t="s">
        <v>3082</v>
      </c>
      <c r="D53" s="3209"/>
      <c r="E53" s="3209"/>
      <c r="F53" s="3209"/>
      <c r="G53" s="3234"/>
      <c r="H53" s="3246"/>
      <c r="I53" s="3246"/>
      <c r="J53" s="3246"/>
      <c r="K53" s="3234"/>
      <c r="L53" s="3418"/>
      <c r="M53" s="3419"/>
      <c r="N53" s="3419"/>
      <c r="O53" s="3235">
        <f>IFERROR(HLOOKUP($C53,'[1]表6 分业态综合成本'!$E$159:$AF$302,143,0)*$F53/10000/$H53*$J53,0)</f>
        <v>0</v>
      </c>
      <c r="P53" s="3235">
        <f>IFERROR(HLOOKUP($C53,'[1]表6 分业态综合成本'!$E$159:$AF$302,143,0)*$F53/10000/$H53*(H53-$J53),0)</f>
        <v>0</v>
      </c>
      <c r="Q53" s="3265" t="s">
        <v>3081</v>
      </c>
      <c r="R53" s="3261" t="b">
        <f>SUM($O53:$Q53)=IFERROR(HLOOKUP($C53,'[1]表2 项目总目标成本表'!$A$4:$IV$1209,MATCH('[1]表2 项目总目标成本表'!$B$1209,'[1]表2 项目总目标成本表'!$B$1:$B$65536,0)-3,0)/10000,0)</f>
        <v>1</v>
      </c>
      <c r="T53" s="3239">
        <f>IFERROR(HLOOKUP($C53,'[1]表6 含增值税分业态综合成本'!$E$159:$AF$302,144,0)*'[1]表1 项目规划指标及收入计划'!$F53/10000,)-'[1]表1 项目规划指标及收入计划'!$U53</f>
        <v>0</v>
      </c>
      <c r="U53" s="3240">
        <f>P53</f>
        <v>0</v>
      </c>
    </row>
    <row r="54" spans="1:21" s="3196" customFormat="1" ht="64.5" hidden="1" customHeight="1">
      <c r="A54" s="3409"/>
      <c r="B54" s="3408"/>
      <c r="C54" s="3222" t="s">
        <v>3083</v>
      </c>
      <c r="D54" s="3234"/>
      <c r="E54" s="3209"/>
      <c r="F54" s="3215"/>
      <c r="G54" s="3234"/>
      <c r="H54" s="3234"/>
      <c r="I54" s="3234"/>
      <c r="J54" s="3234"/>
      <c r="K54" s="3234"/>
      <c r="L54" s="3418"/>
      <c r="M54" s="3419"/>
      <c r="N54" s="3419"/>
      <c r="O54" s="3252"/>
      <c r="P54" s="3252"/>
      <c r="Q54" s="3264" t="s">
        <v>3081</v>
      </c>
      <c r="R54" s="3261"/>
      <c r="T54" s="3253"/>
      <c r="U54" s="3254"/>
    </row>
    <row r="55" spans="1:21" s="3269" customFormat="1" ht="20.100000000000001" hidden="1" customHeight="1">
      <c r="A55" s="3409"/>
      <c r="B55" s="3266" t="s">
        <v>27</v>
      </c>
      <c r="C55" s="3241"/>
      <c r="D55" s="3267">
        <f>SUM(D44:D54)</f>
        <v>0</v>
      </c>
      <c r="E55" s="3267">
        <f>SUM(E44:E54)</f>
        <v>0</v>
      </c>
      <c r="F55" s="3267">
        <f>SUM(F44:F54)</f>
        <v>0</v>
      </c>
      <c r="G55" s="3241"/>
      <c r="H55" s="3241"/>
      <c r="I55" s="3241"/>
      <c r="J55" s="3241"/>
      <c r="K55" s="3414"/>
      <c r="L55" s="3414"/>
      <c r="M55" s="3414"/>
      <c r="N55" s="3415"/>
      <c r="O55" s="3228">
        <f>SUM(O44:O54)</f>
        <v>0</v>
      </c>
      <c r="P55" s="3228">
        <f>SUM(P44:P54)</f>
        <v>0</v>
      </c>
      <c r="Q55" s="3243">
        <f>SUM(Q44:Q54)</f>
        <v>0</v>
      </c>
      <c r="R55" s="3268"/>
      <c r="T55" s="3244">
        <f>SUM(T44:T54)</f>
        <v>0</v>
      </c>
      <c r="U55" s="3245">
        <f>SUM(U44:U54)</f>
        <v>0</v>
      </c>
    </row>
    <row r="56" spans="1:21" s="3269" customFormat="1" ht="20.100000000000001" customHeight="1" thickBot="1">
      <c r="A56" s="3424" t="s">
        <v>24</v>
      </c>
      <c r="B56" s="3425"/>
      <c r="C56" s="3425"/>
      <c r="D56" s="3270">
        <f>SUM(D32,D36,D42,D55)</f>
        <v>110208.99539942089</v>
      </c>
      <c r="E56" s="3271">
        <f>SUM(E32,E36,E42,E55)</f>
        <v>154715.32</v>
      </c>
      <c r="F56" s="3271">
        <f>SUM(F32,F36,F42,F55)</f>
        <v>241586.90000000002</v>
      </c>
      <c r="G56" s="3271">
        <f>SUM(G32,G42,G55)</f>
        <v>154715.32</v>
      </c>
      <c r="H56" s="3272"/>
      <c r="I56" s="3272"/>
      <c r="J56" s="3272"/>
      <c r="K56" s="3426"/>
      <c r="L56" s="3426"/>
      <c r="M56" s="3426"/>
      <c r="N56" s="3427"/>
      <c r="O56" s="3273"/>
      <c r="P56" s="3273"/>
      <c r="Q56" s="3231"/>
      <c r="R56" s="3268"/>
      <c r="T56" s="3274"/>
      <c r="U56" s="3275"/>
    </row>
    <row r="57" spans="1:21" s="3196" customFormat="1" ht="20.100000000000001" customHeight="1" thickBot="1">
      <c r="A57" s="3269"/>
      <c r="B57" s="3276"/>
      <c r="F57" s="3277"/>
      <c r="G57" s="3277"/>
      <c r="R57" s="3218"/>
      <c r="T57" s="3278"/>
      <c r="U57" s="3279"/>
    </row>
    <row r="58" spans="1:21" s="3196" customFormat="1" ht="35.25" customHeight="1">
      <c r="A58" s="3428" t="s">
        <v>3084</v>
      </c>
      <c r="B58" s="3280" t="s">
        <v>3015</v>
      </c>
      <c r="C58" s="3280" t="s">
        <v>3052</v>
      </c>
      <c r="D58" s="3280" t="s">
        <v>3010</v>
      </c>
      <c r="E58" s="3280" t="s">
        <v>3003</v>
      </c>
      <c r="F58" s="3280" t="s">
        <v>3085</v>
      </c>
      <c r="G58" s="3280" t="s">
        <v>3002</v>
      </c>
      <c r="H58" s="3280" t="s">
        <v>3086</v>
      </c>
      <c r="I58" s="3280" t="s">
        <v>3087</v>
      </c>
      <c r="J58" s="3280" t="s">
        <v>3088</v>
      </c>
      <c r="K58" s="3280" t="s">
        <v>3089</v>
      </c>
      <c r="L58" s="3280" t="s">
        <v>3090</v>
      </c>
      <c r="M58" s="3280" t="s">
        <v>3091</v>
      </c>
      <c r="N58" s="3280" t="s">
        <v>3054</v>
      </c>
      <c r="O58" s="3280" t="s">
        <v>3092</v>
      </c>
      <c r="P58" s="3281" t="s">
        <v>3093</v>
      </c>
      <c r="Q58" s="3282" t="s">
        <v>3046</v>
      </c>
      <c r="T58" s="3232" t="s">
        <v>3046</v>
      </c>
      <c r="U58" s="3279"/>
    </row>
    <row r="59" spans="1:21" s="3196" customFormat="1" ht="14.25" customHeight="1">
      <c r="A59" s="3429"/>
      <c r="B59" s="3405" t="s">
        <v>3051</v>
      </c>
      <c r="C59" s="3222" t="s">
        <v>3057</v>
      </c>
      <c r="D59" s="3209"/>
      <c r="E59" s="3246"/>
      <c r="F59" s="3246"/>
      <c r="G59" s="3246"/>
      <c r="H59" s="3246"/>
      <c r="I59" s="3246">
        <f>F59*H59/10000</f>
        <v>0</v>
      </c>
      <c r="J59" s="3246"/>
      <c r="K59" s="3246"/>
      <c r="L59" s="3246"/>
      <c r="M59" s="3247"/>
      <c r="N59" s="3248">
        <f>IFERROR(F59/M59,0)</f>
        <v>0</v>
      </c>
      <c r="O59" s="3283"/>
      <c r="P59" s="3284">
        <f>O59*M59/10000</f>
        <v>0</v>
      </c>
      <c r="Q59" s="3236">
        <f>IF(($I59-$P59/1.11)&lt;0,0,IFERROR(($I59-$P59/1.11)/J59*L59,0))</f>
        <v>0</v>
      </c>
      <c r="T59" s="3239">
        <f>Q59</f>
        <v>0</v>
      </c>
      <c r="U59" s="3279"/>
    </row>
    <row r="60" spans="1:21" s="3196" customFormat="1" ht="14.25" customHeight="1">
      <c r="A60" s="3429"/>
      <c r="B60" s="3406"/>
      <c r="C60" s="3222" t="s">
        <v>3059</v>
      </c>
      <c r="D60" s="3209"/>
      <c r="E60" s="3246"/>
      <c r="F60" s="3246"/>
      <c r="G60" s="3246"/>
      <c r="H60" s="3246"/>
      <c r="I60" s="3246"/>
      <c r="J60" s="3249"/>
      <c r="K60" s="3248"/>
      <c r="L60" s="3248"/>
      <c r="M60" s="3249">
        <v>855</v>
      </c>
      <c r="N60" s="3248">
        <f>IFERROR(F60/M60,0)</f>
        <v>0</v>
      </c>
      <c r="O60" s="3285">
        <v>30000</v>
      </c>
      <c r="P60" s="3284">
        <f>O60*M60/10000</f>
        <v>2565</v>
      </c>
      <c r="Q60" s="3236">
        <f>IF(($I60-$P60/1.11)&lt;0,0,IFERROR(($I60-$P60/1.11)/J60*L60,0))</f>
        <v>0</v>
      </c>
      <c r="T60" s="3239">
        <f>Q60</f>
        <v>0</v>
      </c>
      <c r="U60" s="3279"/>
    </row>
    <row r="61" spans="1:21" s="3196" customFormat="1" ht="14.25" customHeight="1">
      <c r="A61" s="3429"/>
      <c r="B61" s="3407"/>
      <c r="C61" s="3222" t="s">
        <v>3060</v>
      </c>
      <c r="D61" s="3209"/>
      <c r="E61" s="3246"/>
      <c r="F61" s="3246"/>
      <c r="G61" s="3246"/>
      <c r="H61" s="3246"/>
      <c r="I61" s="3246">
        <f>F61*H61/10000</f>
        <v>0</v>
      </c>
      <c r="J61" s="3246"/>
      <c r="K61" s="3246"/>
      <c r="L61" s="3246"/>
      <c r="M61" s="3286"/>
      <c r="N61" s="3248">
        <f>IFERROR(F61/M61,0)</f>
        <v>0</v>
      </c>
      <c r="O61" s="3285"/>
      <c r="P61" s="3284">
        <f>O61*M61/10000</f>
        <v>0</v>
      </c>
      <c r="Q61" s="3236">
        <f>IF(($I61-$P61/1.11)&lt;0,0,IFERROR(($I61-$P61/1.11)/J61*L61,0))</f>
        <v>0</v>
      </c>
      <c r="T61" s="3239">
        <f>Q61</f>
        <v>0</v>
      </c>
      <c r="U61" s="3279"/>
    </row>
    <row r="62" spans="1:21" s="3196" customFormat="1" ht="20.100000000000001" customHeight="1" thickBot="1">
      <c r="A62" s="3429"/>
      <c r="B62" s="3226" t="s">
        <v>27</v>
      </c>
      <c r="C62" s="3287"/>
      <c r="D62" s="3228">
        <f>SUM(D59:D61)</f>
        <v>0</v>
      </c>
      <c r="E62" s="3228">
        <f>SUM(E59:E61)</f>
        <v>0</v>
      </c>
      <c r="F62" s="3228">
        <f>SUM(F59:F61)</f>
        <v>0</v>
      </c>
      <c r="G62" s="3228">
        <f>SUM(G59:G61)</f>
        <v>0</v>
      </c>
      <c r="H62" s="3228"/>
      <c r="I62" s="3228">
        <f t="shared" ref="I62:Q62" si="5">SUM(I59:I61)</f>
        <v>0</v>
      </c>
      <c r="J62" s="3228"/>
      <c r="K62" s="3228"/>
      <c r="L62" s="3228"/>
      <c r="M62" s="3228">
        <f t="shared" si="5"/>
        <v>855</v>
      </c>
      <c r="N62" s="3228">
        <f>IFERROR(F62/M62,0)</f>
        <v>0</v>
      </c>
      <c r="O62" s="3228">
        <f>IFERROR(P62/M62*10000,0)</f>
        <v>30000</v>
      </c>
      <c r="P62" s="3288">
        <f t="shared" si="5"/>
        <v>2565</v>
      </c>
      <c r="Q62" s="3288">
        <f t="shared" si="5"/>
        <v>0</v>
      </c>
      <c r="T62" s="3289">
        <f>SUM(T59:T61)</f>
        <v>0</v>
      </c>
      <c r="U62" s="3279"/>
    </row>
    <row r="63" spans="1:21" s="3196" customFormat="1" ht="36.950000000000003" customHeight="1">
      <c r="A63" s="3429"/>
      <c r="B63" s="3290"/>
      <c r="C63" s="3204" t="s">
        <v>3062</v>
      </c>
      <c r="D63" s="3204" t="s">
        <v>3010</v>
      </c>
      <c r="E63" s="3204" t="s">
        <v>3003</v>
      </c>
      <c r="F63" s="3204" t="s">
        <v>3085</v>
      </c>
      <c r="G63" s="3204" t="s">
        <v>3002</v>
      </c>
      <c r="H63" s="3280" t="s">
        <v>3086</v>
      </c>
      <c r="I63" s="3280" t="s">
        <v>3087</v>
      </c>
      <c r="J63" s="3280" t="s">
        <v>3088</v>
      </c>
      <c r="K63" s="3280" t="s">
        <v>3089</v>
      </c>
      <c r="L63" s="3280" t="s">
        <v>3094</v>
      </c>
      <c r="M63" s="3258" t="s">
        <v>3063</v>
      </c>
      <c r="N63" s="3416" t="s">
        <v>3064</v>
      </c>
      <c r="O63" s="3417"/>
      <c r="P63" s="3431"/>
      <c r="Q63" s="3282" t="s">
        <v>3046</v>
      </c>
      <c r="R63" s="3225"/>
      <c r="T63" s="3232" t="s">
        <v>3046</v>
      </c>
      <c r="U63" s="3279"/>
    </row>
    <row r="64" spans="1:21" s="3196" customFormat="1" ht="18" customHeight="1">
      <c r="A64" s="3429"/>
      <c r="B64" s="3432" t="s">
        <v>3095</v>
      </c>
      <c r="C64" s="3260" t="s">
        <v>3096</v>
      </c>
      <c r="D64" s="3209"/>
      <c r="E64" s="3209"/>
      <c r="F64" s="3209">
        <v>57197.36</v>
      </c>
      <c r="G64" s="3234"/>
      <c r="H64" s="3246">
        <v>150</v>
      </c>
      <c r="I64" s="3246">
        <f>H64*F64/10000</f>
        <v>857.96040000000005</v>
      </c>
      <c r="J64" s="3249">
        <f>102900+110209</f>
        <v>213109</v>
      </c>
      <c r="K64" s="3248">
        <f>J64-L64</f>
        <v>102900</v>
      </c>
      <c r="L64" s="3246">
        <v>110209</v>
      </c>
      <c r="M64" s="3212" t="s">
        <v>3069</v>
      </c>
      <c r="N64" s="3418" t="s">
        <v>3097</v>
      </c>
      <c r="O64" s="3419"/>
      <c r="P64" s="3434"/>
      <c r="Q64" s="3236">
        <f t="shared" ref="Q64:Q70" si="6">IFERROR($I64/$J64*$L64,0)</f>
        <v>443.69293518152688</v>
      </c>
      <c r="R64" s="3225"/>
      <c r="T64" s="3239">
        <f>Q64</f>
        <v>443.69293518152688</v>
      </c>
      <c r="U64" s="3279"/>
    </row>
    <row r="65" spans="1:21" s="3196" customFormat="1" ht="15" hidden="1" customHeight="1">
      <c r="A65" s="3429"/>
      <c r="B65" s="3433"/>
      <c r="C65" s="3260" t="s">
        <v>3072</v>
      </c>
      <c r="D65" s="3209"/>
      <c r="E65" s="3209"/>
      <c r="F65" s="3246"/>
      <c r="G65" s="3234"/>
      <c r="H65" s="3246"/>
      <c r="I65" s="3246"/>
      <c r="J65" s="3249"/>
      <c r="K65" s="3249"/>
      <c r="L65" s="3246"/>
      <c r="M65" s="3212" t="s">
        <v>3069</v>
      </c>
      <c r="N65" s="3418"/>
      <c r="O65" s="3419"/>
      <c r="P65" s="3434"/>
      <c r="Q65" s="3236">
        <f t="shared" si="6"/>
        <v>0</v>
      </c>
      <c r="T65" s="3239">
        <f t="shared" ref="T65:T70" si="7">Q65</f>
        <v>0</v>
      </c>
      <c r="U65" s="3279"/>
    </row>
    <row r="66" spans="1:21" s="3196" customFormat="1" ht="15" hidden="1" customHeight="1">
      <c r="A66" s="3429"/>
      <c r="B66" s="3406"/>
      <c r="C66" s="3260" t="s">
        <v>3098</v>
      </c>
      <c r="D66" s="3209"/>
      <c r="E66" s="3209"/>
      <c r="F66" s="3246"/>
      <c r="G66" s="3234"/>
      <c r="H66" s="3246"/>
      <c r="I66" s="3246">
        <f>F66*H66/10000</f>
        <v>0</v>
      </c>
      <c r="J66" s="3249"/>
      <c r="K66" s="3248"/>
      <c r="L66" s="3246"/>
      <c r="M66" s="3212" t="s">
        <v>3069</v>
      </c>
      <c r="N66" s="3418"/>
      <c r="O66" s="3419"/>
      <c r="P66" s="3434"/>
      <c r="Q66" s="3236">
        <f t="shared" si="6"/>
        <v>0</v>
      </c>
      <c r="T66" s="3239">
        <f t="shared" si="7"/>
        <v>0</v>
      </c>
      <c r="U66" s="3279"/>
    </row>
    <row r="67" spans="1:21" s="3196" customFormat="1" ht="15" hidden="1" customHeight="1">
      <c r="A67" s="3429"/>
      <c r="B67" s="3406"/>
      <c r="C67" s="3260" t="s">
        <v>3099</v>
      </c>
      <c r="D67" s="3209"/>
      <c r="E67" s="3209"/>
      <c r="F67" s="3246"/>
      <c r="G67" s="3234"/>
      <c r="H67" s="3246"/>
      <c r="I67" s="3246"/>
      <c r="J67" s="3246"/>
      <c r="K67" s="3209"/>
      <c r="L67" s="3246"/>
      <c r="M67" s="3212" t="s">
        <v>3069</v>
      </c>
      <c r="N67" s="3418"/>
      <c r="O67" s="3419"/>
      <c r="P67" s="3434"/>
      <c r="Q67" s="3236">
        <f t="shared" si="6"/>
        <v>0</v>
      </c>
      <c r="T67" s="3239">
        <f t="shared" si="7"/>
        <v>0</v>
      </c>
      <c r="U67" s="3279"/>
    </row>
    <row r="68" spans="1:21" s="3196" customFormat="1" ht="15" hidden="1" customHeight="1">
      <c r="A68" s="3429"/>
      <c r="B68" s="3406"/>
      <c r="C68" s="3260" t="s">
        <v>3076</v>
      </c>
      <c r="D68" s="3209"/>
      <c r="E68" s="3209"/>
      <c r="F68" s="3246"/>
      <c r="G68" s="3234"/>
      <c r="H68" s="3246"/>
      <c r="I68" s="3246">
        <f>H68*F68/10000</f>
        <v>0</v>
      </c>
      <c r="J68" s="3249"/>
      <c r="K68" s="3248"/>
      <c r="L68" s="3246"/>
      <c r="M68" s="3212" t="s">
        <v>3069</v>
      </c>
      <c r="N68" s="3418"/>
      <c r="O68" s="3419"/>
      <c r="P68" s="3434"/>
      <c r="Q68" s="3236">
        <f t="shared" si="6"/>
        <v>0</v>
      </c>
      <c r="T68" s="3239">
        <f t="shared" si="7"/>
        <v>0</v>
      </c>
      <c r="U68" s="3279"/>
    </row>
    <row r="69" spans="1:21" s="3196" customFormat="1" ht="15" hidden="1" customHeight="1">
      <c r="A69" s="3429"/>
      <c r="B69" s="3406"/>
      <c r="C69" s="3260" t="s">
        <v>3078</v>
      </c>
      <c r="D69" s="3209"/>
      <c r="E69" s="3209"/>
      <c r="F69" s="3246"/>
      <c r="G69" s="3234"/>
      <c r="H69" s="3246"/>
      <c r="I69" s="3246"/>
      <c r="J69" s="3246"/>
      <c r="K69" s="3246"/>
      <c r="L69" s="3246"/>
      <c r="M69" s="3212" t="s">
        <v>3069</v>
      </c>
      <c r="N69" s="3418"/>
      <c r="O69" s="3419"/>
      <c r="P69" s="3434"/>
      <c r="Q69" s="3236">
        <f t="shared" si="6"/>
        <v>0</v>
      </c>
      <c r="T69" s="3239">
        <f t="shared" si="7"/>
        <v>0</v>
      </c>
      <c r="U69" s="3279"/>
    </row>
    <row r="70" spans="1:21" s="3196" customFormat="1" ht="15" hidden="1" customHeight="1">
      <c r="A70" s="3429"/>
      <c r="B70" s="3407"/>
      <c r="C70" s="3222" t="s">
        <v>3082</v>
      </c>
      <c r="D70" s="3209"/>
      <c r="E70" s="3209"/>
      <c r="F70" s="3246"/>
      <c r="G70" s="3234"/>
      <c r="H70" s="3246"/>
      <c r="I70" s="3246"/>
      <c r="J70" s="3246"/>
      <c r="K70" s="3246"/>
      <c r="L70" s="3246"/>
      <c r="M70" s="3234"/>
      <c r="N70" s="3418"/>
      <c r="O70" s="3419"/>
      <c r="P70" s="3434"/>
      <c r="Q70" s="3236">
        <f t="shared" si="6"/>
        <v>0</v>
      </c>
      <c r="T70" s="3239">
        <f t="shared" si="7"/>
        <v>0</v>
      </c>
      <c r="U70" s="3279"/>
    </row>
    <row r="71" spans="1:21" s="3196" customFormat="1" ht="20.100000000000001" customHeight="1">
      <c r="A71" s="3430"/>
      <c r="B71" s="3266" t="s">
        <v>27</v>
      </c>
      <c r="C71" s="3266"/>
      <c r="D71" s="3228">
        <f t="shared" ref="D71:I71" si="8">SUM(D64:D70)</f>
        <v>0</v>
      </c>
      <c r="E71" s="3228">
        <f t="shared" si="8"/>
        <v>0</v>
      </c>
      <c r="F71" s="3228">
        <f t="shared" si="8"/>
        <v>57197.36</v>
      </c>
      <c r="G71" s="3228"/>
      <c r="H71" s="3228">
        <f t="shared" si="8"/>
        <v>150</v>
      </c>
      <c r="I71" s="3228">
        <f t="shared" si="8"/>
        <v>857.96040000000005</v>
      </c>
      <c r="J71" s="3228"/>
      <c r="K71" s="3228"/>
      <c r="L71" s="3228"/>
      <c r="M71" s="3438"/>
      <c r="N71" s="3438"/>
      <c r="O71" s="3438"/>
      <c r="P71" s="3439"/>
      <c r="Q71" s="3228">
        <f>SUM(Q64:Q70)</f>
        <v>443.69293518152688</v>
      </c>
      <c r="T71" s="3244">
        <f>SUM(T64:T70)</f>
        <v>443.69293518152688</v>
      </c>
      <c r="U71" s="3279"/>
    </row>
    <row r="72" spans="1:21" s="3196" customFormat="1" ht="20.100000000000001" customHeight="1" thickBot="1">
      <c r="A72" s="3420" t="s">
        <v>24</v>
      </c>
      <c r="B72" s="3421"/>
      <c r="C72" s="3421"/>
      <c r="D72" s="3291">
        <f t="shared" ref="D72:I72" si="9">SUM(D62,D71)</f>
        <v>0</v>
      </c>
      <c r="E72" s="3291">
        <f t="shared" si="9"/>
        <v>0</v>
      </c>
      <c r="F72" s="3291">
        <f t="shared" si="9"/>
        <v>57197.36</v>
      </c>
      <c r="G72" s="3291"/>
      <c r="H72" s="3291">
        <f t="shared" si="9"/>
        <v>150</v>
      </c>
      <c r="I72" s="3291">
        <f t="shared" si="9"/>
        <v>857.96040000000005</v>
      </c>
      <c r="J72" s="3291"/>
      <c r="K72" s="3291"/>
      <c r="L72" s="3291"/>
      <c r="M72" s="3422"/>
      <c r="N72" s="3422"/>
      <c r="O72" s="3422"/>
      <c r="P72" s="3423"/>
      <c r="Q72" s="3292">
        <f>+Q62+Q71</f>
        <v>443.69293518152688</v>
      </c>
      <c r="T72" s="3293">
        <f>+T62+T71</f>
        <v>443.69293518152688</v>
      </c>
      <c r="U72" s="3294"/>
    </row>
    <row r="73" spans="1:21" ht="20.100000000000001" customHeight="1"/>
    <row r="74" spans="1:21" ht="20.100000000000001" customHeight="1">
      <c r="D74" s="3295"/>
    </row>
    <row r="75" spans="1:21" ht="20.100000000000001" customHeight="1">
      <c r="C75" s="3296" t="s">
        <v>3100</v>
      </c>
      <c r="D75" s="3297">
        <f>F7</f>
        <v>110209</v>
      </c>
      <c r="E75" s="3296" t="s">
        <v>3101</v>
      </c>
    </row>
    <row r="76" spans="1:21" ht="20.100000000000001" customHeight="1">
      <c r="C76" s="3296" t="s">
        <v>3102</v>
      </c>
      <c r="D76" s="3298">
        <f>D75*22%</f>
        <v>24245.98</v>
      </c>
      <c r="E76" s="3299">
        <f>D76/D75</f>
        <v>0.22</v>
      </c>
    </row>
    <row r="77" spans="1:21" ht="20.100000000000001" customHeight="1">
      <c r="C77" s="3296" t="s">
        <v>3103</v>
      </c>
      <c r="D77" s="3300">
        <f>D75*18%</f>
        <v>19837.62</v>
      </c>
      <c r="E77" s="3299">
        <f>D77/D75</f>
        <v>0.18</v>
      </c>
      <c r="H77" s="3163"/>
    </row>
    <row r="78" spans="1:21" ht="20.100000000000001" customHeight="1">
      <c r="C78" s="3296" t="s">
        <v>3104</v>
      </c>
      <c r="D78" s="3296">
        <f>55104.5*0.6+694.8*0.6</f>
        <v>33479.579999999994</v>
      </c>
      <c r="E78" s="3296"/>
      <c r="F78" s="3435" t="s">
        <v>3105</v>
      </c>
      <c r="H78" s="3163"/>
    </row>
    <row r="79" spans="1:21" ht="20.100000000000001" customHeight="1">
      <c r="C79" s="3296" t="s">
        <v>3106</v>
      </c>
      <c r="D79" s="3296">
        <f>55104.5*0.4+694.8*0.4</f>
        <v>22319.72</v>
      </c>
      <c r="E79" s="3296"/>
      <c r="F79" s="3435"/>
      <c r="H79" s="3163"/>
    </row>
    <row r="80" spans="1:21" ht="20.100000000000001" customHeight="1">
      <c r="C80" s="3296" t="s">
        <v>3107</v>
      </c>
      <c r="D80" s="3296">
        <f>9356.1*0.6</f>
        <v>5613.66</v>
      </c>
      <c r="E80" s="3296"/>
      <c r="F80" s="3435" t="s">
        <v>3105</v>
      </c>
    </row>
    <row r="81" spans="3:8" ht="28.5" customHeight="1">
      <c r="C81" s="3296" t="s">
        <v>3108</v>
      </c>
      <c r="D81" s="3296">
        <f>9356.1*0.4</f>
        <v>3742.4400000000005</v>
      </c>
      <c r="E81" s="3296"/>
      <c r="F81" s="3435"/>
    </row>
    <row r="82" spans="3:8" ht="20.100000000000001" customHeight="1">
      <c r="C82" s="3296" t="s">
        <v>3109</v>
      </c>
      <c r="D82" s="3296">
        <v>970</v>
      </c>
      <c r="E82" s="3296"/>
    </row>
    <row r="83" spans="3:8" ht="20.100000000000001" customHeight="1">
      <c r="C83" s="3296" t="s">
        <v>3110</v>
      </c>
      <c r="D83" s="3296">
        <v>0</v>
      </c>
      <c r="E83" s="3296"/>
    </row>
    <row r="84" spans="3:8" ht="20.100000000000001" customHeight="1">
      <c r="C84" s="3296" t="s">
        <v>3111</v>
      </c>
      <c r="D84" s="3436">
        <f>D75-D76-D77-D78-D79-D80-D81-D82-D83</f>
        <v>1.2732925824820995E-11</v>
      </c>
      <c r="E84" s="3437"/>
    </row>
    <row r="85" spans="3:8" ht="20.100000000000001" customHeight="1"/>
    <row r="86" spans="3:8" ht="20.100000000000001" customHeight="1">
      <c r="C86" s="3296" t="s">
        <v>3112</v>
      </c>
      <c r="D86" s="3300">
        <f>D75*10%</f>
        <v>11020.900000000001</v>
      </c>
      <c r="E86" s="3296">
        <f>D86/D75</f>
        <v>0.10000000000000002</v>
      </c>
      <c r="H86" s="3301" t="s">
        <v>3113</v>
      </c>
    </row>
    <row r="87" spans="3:8" ht="20.100000000000001" customHeight="1">
      <c r="C87" s="3163"/>
      <c r="D87" s="3302"/>
    </row>
    <row r="88" spans="3:8" ht="20.100000000000001" customHeight="1">
      <c r="C88" s="3163"/>
    </row>
    <row r="89" spans="3:8" ht="72" customHeight="1">
      <c r="C89" s="3303"/>
    </row>
  </sheetData>
  <mergeCells count="61">
    <mergeCell ref="F78:F79"/>
    <mergeCell ref="F80:F81"/>
    <mergeCell ref="D84:E84"/>
    <mergeCell ref="N68:P68"/>
    <mergeCell ref="N69:P69"/>
    <mergeCell ref="N70:P70"/>
    <mergeCell ref="M71:P71"/>
    <mergeCell ref="A72:C72"/>
    <mergeCell ref="M72:P72"/>
    <mergeCell ref="A56:C56"/>
    <mergeCell ref="K56:N56"/>
    <mergeCell ref="A58:A71"/>
    <mergeCell ref="B59:B61"/>
    <mergeCell ref="N63:P63"/>
    <mergeCell ref="B64:B70"/>
    <mergeCell ref="N64:P64"/>
    <mergeCell ref="N65:P65"/>
    <mergeCell ref="N66:P66"/>
    <mergeCell ref="N67:P67"/>
    <mergeCell ref="K55:N55"/>
    <mergeCell ref="A43:A55"/>
    <mergeCell ref="L43:N43"/>
    <mergeCell ref="B44:B51"/>
    <mergeCell ref="L44:N44"/>
    <mergeCell ref="L45:N45"/>
    <mergeCell ref="L46:N46"/>
    <mergeCell ref="L47:N47"/>
    <mergeCell ref="L48:N48"/>
    <mergeCell ref="L49:N49"/>
    <mergeCell ref="L50:N50"/>
    <mergeCell ref="L51:N51"/>
    <mergeCell ref="B52:B54"/>
    <mergeCell ref="L52:N52"/>
    <mergeCell ref="L53:N53"/>
    <mergeCell ref="L54:N54"/>
    <mergeCell ref="A15:A42"/>
    <mergeCell ref="B16:B27"/>
    <mergeCell ref="B28:B31"/>
    <mergeCell ref="M32:N32"/>
    <mergeCell ref="O32:P32"/>
    <mergeCell ref="T32:U32"/>
    <mergeCell ref="B33:B35"/>
    <mergeCell ref="B37:B41"/>
    <mergeCell ref="B11:B12"/>
    <mergeCell ref="F12:G12"/>
    <mergeCell ref="H12:I12"/>
    <mergeCell ref="J12:L12"/>
    <mergeCell ref="B13:B14"/>
    <mergeCell ref="F14:G14"/>
    <mergeCell ref="H14:I14"/>
    <mergeCell ref="J14:L14"/>
    <mergeCell ref="E1:F1"/>
    <mergeCell ref="A7:A14"/>
    <mergeCell ref="B7:B8"/>
    <mergeCell ref="F8:G8"/>
    <mergeCell ref="H8:I8"/>
    <mergeCell ref="J8:L8"/>
    <mergeCell ref="B9:B10"/>
    <mergeCell ref="F10:G10"/>
    <mergeCell ref="H10:I10"/>
    <mergeCell ref="J10:L10"/>
  </mergeCells>
  <phoneticPr fontId="233" type="noConversion"/>
  <dataValidations count="3">
    <dataValidation type="list" allowBlank="1" showInputMessage="1" sqref="N28:N31 JJ28:JJ31 TF28:TF31 ADB28:ADB31 AMX28:AMX31 AWT28:AWT31 BGP28:BGP31 BQL28:BQL31 CAH28:CAH31 CKD28:CKD31 CTZ28:CTZ31 DDV28:DDV31 DNR28:DNR31 DXN28:DXN31 EHJ28:EHJ31 ERF28:ERF31 FBB28:FBB31 FKX28:FKX31 FUT28:FUT31 GEP28:GEP31 GOL28:GOL31 GYH28:GYH31 HID28:HID31 HRZ28:HRZ31 IBV28:IBV31 ILR28:ILR31 IVN28:IVN31 JFJ28:JFJ31 JPF28:JPF31 JZB28:JZB31 KIX28:KIX31 KST28:KST31 LCP28:LCP31 LML28:LML31 LWH28:LWH31 MGD28:MGD31 MPZ28:MPZ31 MZV28:MZV31 NJR28:NJR31 NTN28:NTN31 ODJ28:ODJ31 ONF28:ONF31 OXB28:OXB31 PGX28:PGX31 PQT28:PQT31 QAP28:QAP31 QKL28:QKL31 QUH28:QUH31 RED28:RED31 RNZ28:RNZ31 RXV28:RXV31 SHR28:SHR31 SRN28:SRN31 TBJ28:TBJ31 TLF28:TLF31 TVB28:TVB31 UEX28:UEX31 UOT28:UOT31 UYP28:UYP31 VIL28:VIL31 VSH28:VSH31 WCD28:WCD31 WLZ28:WLZ31 WVV28:WVV31 N65564:N65567 JJ65564:JJ65567 TF65564:TF65567 ADB65564:ADB65567 AMX65564:AMX65567 AWT65564:AWT65567 BGP65564:BGP65567 BQL65564:BQL65567 CAH65564:CAH65567 CKD65564:CKD65567 CTZ65564:CTZ65567 DDV65564:DDV65567 DNR65564:DNR65567 DXN65564:DXN65567 EHJ65564:EHJ65567 ERF65564:ERF65567 FBB65564:FBB65567 FKX65564:FKX65567 FUT65564:FUT65567 GEP65564:GEP65567 GOL65564:GOL65567 GYH65564:GYH65567 HID65564:HID65567 HRZ65564:HRZ65567 IBV65564:IBV65567 ILR65564:ILR65567 IVN65564:IVN65567 JFJ65564:JFJ65567 JPF65564:JPF65567 JZB65564:JZB65567 KIX65564:KIX65567 KST65564:KST65567 LCP65564:LCP65567 LML65564:LML65567 LWH65564:LWH65567 MGD65564:MGD65567 MPZ65564:MPZ65567 MZV65564:MZV65567 NJR65564:NJR65567 NTN65564:NTN65567 ODJ65564:ODJ65567 ONF65564:ONF65567 OXB65564:OXB65567 PGX65564:PGX65567 PQT65564:PQT65567 QAP65564:QAP65567 QKL65564:QKL65567 QUH65564:QUH65567 RED65564:RED65567 RNZ65564:RNZ65567 RXV65564:RXV65567 SHR65564:SHR65567 SRN65564:SRN65567 TBJ65564:TBJ65567 TLF65564:TLF65567 TVB65564:TVB65567 UEX65564:UEX65567 UOT65564:UOT65567 UYP65564:UYP65567 VIL65564:VIL65567 VSH65564:VSH65567 WCD65564:WCD65567 WLZ65564:WLZ65567 WVV65564:WVV65567 N131100:N131103 JJ131100:JJ131103 TF131100:TF131103 ADB131100:ADB131103 AMX131100:AMX131103 AWT131100:AWT131103 BGP131100:BGP131103 BQL131100:BQL131103 CAH131100:CAH131103 CKD131100:CKD131103 CTZ131100:CTZ131103 DDV131100:DDV131103 DNR131100:DNR131103 DXN131100:DXN131103 EHJ131100:EHJ131103 ERF131100:ERF131103 FBB131100:FBB131103 FKX131100:FKX131103 FUT131100:FUT131103 GEP131100:GEP131103 GOL131100:GOL131103 GYH131100:GYH131103 HID131100:HID131103 HRZ131100:HRZ131103 IBV131100:IBV131103 ILR131100:ILR131103 IVN131100:IVN131103 JFJ131100:JFJ131103 JPF131100:JPF131103 JZB131100:JZB131103 KIX131100:KIX131103 KST131100:KST131103 LCP131100:LCP131103 LML131100:LML131103 LWH131100:LWH131103 MGD131100:MGD131103 MPZ131100:MPZ131103 MZV131100:MZV131103 NJR131100:NJR131103 NTN131100:NTN131103 ODJ131100:ODJ131103 ONF131100:ONF131103 OXB131100:OXB131103 PGX131100:PGX131103 PQT131100:PQT131103 QAP131100:QAP131103 QKL131100:QKL131103 QUH131100:QUH131103 RED131100:RED131103 RNZ131100:RNZ131103 RXV131100:RXV131103 SHR131100:SHR131103 SRN131100:SRN131103 TBJ131100:TBJ131103 TLF131100:TLF131103 TVB131100:TVB131103 UEX131100:UEX131103 UOT131100:UOT131103 UYP131100:UYP131103 VIL131100:VIL131103 VSH131100:VSH131103 WCD131100:WCD131103 WLZ131100:WLZ131103 WVV131100:WVV131103 N196636:N196639 JJ196636:JJ196639 TF196636:TF196639 ADB196636:ADB196639 AMX196636:AMX196639 AWT196636:AWT196639 BGP196636:BGP196639 BQL196636:BQL196639 CAH196636:CAH196639 CKD196636:CKD196639 CTZ196636:CTZ196639 DDV196636:DDV196639 DNR196636:DNR196639 DXN196636:DXN196639 EHJ196636:EHJ196639 ERF196636:ERF196639 FBB196636:FBB196639 FKX196636:FKX196639 FUT196636:FUT196639 GEP196636:GEP196639 GOL196636:GOL196639 GYH196636:GYH196639 HID196636:HID196639 HRZ196636:HRZ196639 IBV196636:IBV196639 ILR196636:ILR196639 IVN196636:IVN196639 JFJ196636:JFJ196639 JPF196636:JPF196639 JZB196636:JZB196639 KIX196636:KIX196639 KST196636:KST196639 LCP196636:LCP196639 LML196636:LML196639 LWH196636:LWH196639 MGD196636:MGD196639 MPZ196636:MPZ196639 MZV196636:MZV196639 NJR196636:NJR196639 NTN196636:NTN196639 ODJ196636:ODJ196639 ONF196636:ONF196639 OXB196636:OXB196639 PGX196636:PGX196639 PQT196636:PQT196639 QAP196636:QAP196639 QKL196636:QKL196639 QUH196636:QUH196639 RED196636:RED196639 RNZ196636:RNZ196639 RXV196636:RXV196639 SHR196636:SHR196639 SRN196636:SRN196639 TBJ196636:TBJ196639 TLF196636:TLF196639 TVB196636:TVB196639 UEX196636:UEX196639 UOT196636:UOT196639 UYP196636:UYP196639 VIL196636:VIL196639 VSH196636:VSH196639 WCD196636:WCD196639 WLZ196636:WLZ196639 WVV196636:WVV196639 N262172:N262175 JJ262172:JJ262175 TF262172:TF262175 ADB262172:ADB262175 AMX262172:AMX262175 AWT262172:AWT262175 BGP262172:BGP262175 BQL262172:BQL262175 CAH262172:CAH262175 CKD262172:CKD262175 CTZ262172:CTZ262175 DDV262172:DDV262175 DNR262172:DNR262175 DXN262172:DXN262175 EHJ262172:EHJ262175 ERF262172:ERF262175 FBB262172:FBB262175 FKX262172:FKX262175 FUT262172:FUT262175 GEP262172:GEP262175 GOL262172:GOL262175 GYH262172:GYH262175 HID262172:HID262175 HRZ262172:HRZ262175 IBV262172:IBV262175 ILR262172:ILR262175 IVN262172:IVN262175 JFJ262172:JFJ262175 JPF262172:JPF262175 JZB262172:JZB262175 KIX262172:KIX262175 KST262172:KST262175 LCP262172:LCP262175 LML262172:LML262175 LWH262172:LWH262175 MGD262172:MGD262175 MPZ262172:MPZ262175 MZV262172:MZV262175 NJR262172:NJR262175 NTN262172:NTN262175 ODJ262172:ODJ262175 ONF262172:ONF262175 OXB262172:OXB262175 PGX262172:PGX262175 PQT262172:PQT262175 QAP262172:QAP262175 QKL262172:QKL262175 QUH262172:QUH262175 RED262172:RED262175 RNZ262172:RNZ262175 RXV262172:RXV262175 SHR262172:SHR262175 SRN262172:SRN262175 TBJ262172:TBJ262175 TLF262172:TLF262175 TVB262172:TVB262175 UEX262172:UEX262175 UOT262172:UOT262175 UYP262172:UYP262175 VIL262172:VIL262175 VSH262172:VSH262175 WCD262172:WCD262175 WLZ262172:WLZ262175 WVV262172:WVV262175 N327708:N327711 JJ327708:JJ327711 TF327708:TF327711 ADB327708:ADB327711 AMX327708:AMX327711 AWT327708:AWT327711 BGP327708:BGP327711 BQL327708:BQL327711 CAH327708:CAH327711 CKD327708:CKD327711 CTZ327708:CTZ327711 DDV327708:DDV327711 DNR327708:DNR327711 DXN327708:DXN327711 EHJ327708:EHJ327711 ERF327708:ERF327711 FBB327708:FBB327711 FKX327708:FKX327711 FUT327708:FUT327711 GEP327708:GEP327711 GOL327708:GOL327711 GYH327708:GYH327711 HID327708:HID327711 HRZ327708:HRZ327711 IBV327708:IBV327711 ILR327708:ILR327711 IVN327708:IVN327711 JFJ327708:JFJ327711 JPF327708:JPF327711 JZB327708:JZB327711 KIX327708:KIX327711 KST327708:KST327711 LCP327708:LCP327711 LML327708:LML327711 LWH327708:LWH327711 MGD327708:MGD327711 MPZ327708:MPZ327711 MZV327708:MZV327711 NJR327708:NJR327711 NTN327708:NTN327711 ODJ327708:ODJ327711 ONF327708:ONF327711 OXB327708:OXB327711 PGX327708:PGX327711 PQT327708:PQT327711 QAP327708:QAP327711 QKL327708:QKL327711 QUH327708:QUH327711 RED327708:RED327711 RNZ327708:RNZ327711 RXV327708:RXV327711 SHR327708:SHR327711 SRN327708:SRN327711 TBJ327708:TBJ327711 TLF327708:TLF327711 TVB327708:TVB327711 UEX327708:UEX327711 UOT327708:UOT327711 UYP327708:UYP327711 VIL327708:VIL327711 VSH327708:VSH327711 WCD327708:WCD327711 WLZ327708:WLZ327711 WVV327708:WVV327711 N393244:N393247 JJ393244:JJ393247 TF393244:TF393247 ADB393244:ADB393247 AMX393244:AMX393247 AWT393244:AWT393247 BGP393244:BGP393247 BQL393244:BQL393247 CAH393244:CAH393247 CKD393244:CKD393247 CTZ393244:CTZ393247 DDV393244:DDV393247 DNR393244:DNR393247 DXN393244:DXN393247 EHJ393244:EHJ393247 ERF393244:ERF393247 FBB393244:FBB393247 FKX393244:FKX393247 FUT393244:FUT393247 GEP393244:GEP393247 GOL393244:GOL393247 GYH393244:GYH393247 HID393244:HID393247 HRZ393244:HRZ393247 IBV393244:IBV393247 ILR393244:ILR393247 IVN393244:IVN393247 JFJ393244:JFJ393247 JPF393244:JPF393247 JZB393244:JZB393247 KIX393244:KIX393247 KST393244:KST393247 LCP393244:LCP393247 LML393244:LML393247 LWH393244:LWH393247 MGD393244:MGD393247 MPZ393244:MPZ393247 MZV393244:MZV393247 NJR393244:NJR393247 NTN393244:NTN393247 ODJ393244:ODJ393247 ONF393244:ONF393247 OXB393244:OXB393247 PGX393244:PGX393247 PQT393244:PQT393247 QAP393244:QAP393247 QKL393244:QKL393247 QUH393244:QUH393247 RED393244:RED393247 RNZ393244:RNZ393247 RXV393244:RXV393247 SHR393244:SHR393247 SRN393244:SRN393247 TBJ393244:TBJ393247 TLF393244:TLF393247 TVB393244:TVB393247 UEX393244:UEX393247 UOT393244:UOT393247 UYP393244:UYP393247 VIL393244:VIL393247 VSH393244:VSH393247 WCD393244:WCD393247 WLZ393244:WLZ393247 WVV393244:WVV393247 N458780:N458783 JJ458780:JJ458783 TF458780:TF458783 ADB458780:ADB458783 AMX458780:AMX458783 AWT458780:AWT458783 BGP458780:BGP458783 BQL458780:BQL458783 CAH458780:CAH458783 CKD458780:CKD458783 CTZ458780:CTZ458783 DDV458780:DDV458783 DNR458780:DNR458783 DXN458780:DXN458783 EHJ458780:EHJ458783 ERF458780:ERF458783 FBB458780:FBB458783 FKX458780:FKX458783 FUT458780:FUT458783 GEP458780:GEP458783 GOL458780:GOL458783 GYH458780:GYH458783 HID458780:HID458783 HRZ458780:HRZ458783 IBV458780:IBV458783 ILR458780:ILR458783 IVN458780:IVN458783 JFJ458780:JFJ458783 JPF458780:JPF458783 JZB458780:JZB458783 KIX458780:KIX458783 KST458780:KST458783 LCP458780:LCP458783 LML458780:LML458783 LWH458780:LWH458783 MGD458780:MGD458783 MPZ458780:MPZ458783 MZV458780:MZV458783 NJR458780:NJR458783 NTN458780:NTN458783 ODJ458780:ODJ458783 ONF458780:ONF458783 OXB458780:OXB458783 PGX458780:PGX458783 PQT458780:PQT458783 QAP458780:QAP458783 QKL458780:QKL458783 QUH458780:QUH458783 RED458780:RED458783 RNZ458780:RNZ458783 RXV458780:RXV458783 SHR458780:SHR458783 SRN458780:SRN458783 TBJ458780:TBJ458783 TLF458780:TLF458783 TVB458780:TVB458783 UEX458780:UEX458783 UOT458780:UOT458783 UYP458780:UYP458783 VIL458780:VIL458783 VSH458780:VSH458783 WCD458780:WCD458783 WLZ458780:WLZ458783 WVV458780:WVV458783 N524316:N524319 JJ524316:JJ524319 TF524316:TF524319 ADB524316:ADB524319 AMX524316:AMX524319 AWT524316:AWT524319 BGP524316:BGP524319 BQL524316:BQL524319 CAH524316:CAH524319 CKD524316:CKD524319 CTZ524316:CTZ524319 DDV524316:DDV524319 DNR524316:DNR524319 DXN524316:DXN524319 EHJ524316:EHJ524319 ERF524316:ERF524319 FBB524316:FBB524319 FKX524316:FKX524319 FUT524316:FUT524319 GEP524316:GEP524319 GOL524316:GOL524319 GYH524316:GYH524319 HID524316:HID524319 HRZ524316:HRZ524319 IBV524316:IBV524319 ILR524316:ILR524319 IVN524316:IVN524319 JFJ524316:JFJ524319 JPF524316:JPF524319 JZB524316:JZB524319 KIX524316:KIX524319 KST524316:KST524319 LCP524316:LCP524319 LML524316:LML524319 LWH524316:LWH524319 MGD524316:MGD524319 MPZ524316:MPZ524319 MZV524316:MZV524319 NJR524316:NJR524319 NTN524316:NTN524319 ODJ524316:ODJ524319 ONF524316:ONF524319 OXB524316:OXB524319 PGX524316:PGX524319 PQT524316:PQT524319 QAP524316:QAP524319 QKL524316:QKL524319 QUH524316:QUH524319 RED524316:RED524319 RNZ524316:RNZ524319 RXV524316:RXV524319 SHR524316:SHR524319 SRN524316:SRN524319 TBJ524316:TBJ524319 TLF524316:TLF524319 TVB524316:TVB524319 UEX524316:UEX524319 UOT524316:UOT524319 UYP524316:UYP524319 VIL524316:VIL524319 VSH524316:VSH524319 WCD524316:WCD524319 WLZ524316:WLZ524319 WVV524316:WVV524319 N589852:N589855 JJ589852:JJ589855 TF589852:TF589855 ADB589852:ADB589855 AMX589852:AMX589855 AWT589852:AWT589855 BGP589852:BGP589855 BQL589852:BQL589855 CAH589852:CAH589855 CKD589852:CKD589855 CTZ589852:CTZ589855 DDV589852:DDV589855 DNR589852:DNR589855 DXN589852:DXN589855 EHJ589852:EHJ589855 ERF589852:ERF589855 FBB589852:FBB589855 FKX589852:FKX589855 FUT589852:FUT589855 GEP589852:GEP589855 GOL589852:GOL589855 GYH589852:GYH589855 HID589852:HID589855 HRZ589852:HRZ589855 IBV589852:IBV589855 ILR589852:ILR589855 IVN589852:IVN589855 JFJ589852:JFJ589855 JPF589852:JPF589855 JZB589852:JZB589855 KIX589852:KIX589855 KST589852:KST589855 LCP589852:LCP589855 LML589852:LML589855 LWH589852:LWH589855 MGD589852:MGD589855 MPZ589852:MPZ589855 MZV589852:MZV589855 NJR589852:NJR589855 NTN589852:NTN589855 ODJ589852:ODJ589855 ONF589852:ONF589855 OXB589852:OXB589855 PGX589852:PGX589855 PQT589852:PQT589855 QAP589852:QAP589855 QKL589852:QKL589855 QUH589852:QUH589855 RED589852:RED589855 RNZ589852:RNZ589855 RXV589852:RXV589855 SHR589852:SHR589855 SRN589852:SRN589855 TBJ589852:TBJ589855 TLF589852:TLF589855 TVB589852:TVB589855 UEX589852:UEX589855 UOT589852:UOT589855 UYP589852:UYP589855 VIL589852:VIL589855 VSH589852:VSH589855 WCD589852:WCD589855 WLZ589852:WLZ589855 WVV589852:WVV589855 N655388:N655391 JJ655388:JJ655391 TF655388:TF655391 ADB655388:ADB655391 AMX655388:AMX655391 AWT655388:AWT655391 BGP655388:BGP655391 BQL655388:BQL655391 CAH655388:CAH655391 CKD655388:CKD655391 CTZ655388:CTZ655391 DDV655388:DDV655391 DNR655388:DNR655391 DXN655388:DXN655391 EHJ655388:EHJ655391 ERF655388:ERF655391 FBB655388:FBB655391 FKX655388:FKX655391 FUT655388:FUT655391 GEP655388:GEP655391 GOL655388:GOL655391 GYH655388:GYH655391 HID655388:HID655391 HRZ655388:HRZ655391 IBV655388:IBV655391 ILR655388:ILR655391 IVN655388:IVN655391 JFJ655388:JFJ655391 JPF655388:JPF655391 JZB655388:JZB655391 KIX655388:KIX655391 KST655388:KST655391 LCP655388:LCP655391 LML655388:LML655391 LWH655388:LWH655391 MGD655388:MGD655391 MPZ655388:MPZ655391 MZV655388:MZV655391 NJR655388:NJR655391 NTN655388:NTN655391 ODJ655388:ODJ655391 ONF655388:ONF655391 OXB655388:OXB655391 PGX655388:PGX655391 PQT655388:PQT655391 QAP655388:QAP655391 QKL655388:QKL655391 QUH655388:QUH655391 RED655388:RED655391 RNZ655388:RNZ655391 RXV655388:RXV655391 SHR655388:SHR655391 SRN655388:SRN655391 TBJ655388:TBJ655391 TLF655388:TLF655391 TVB655388:TVB655391 UEX655388:UEX655391 UOT655388:UOT655391 UYP655388:UYP655391 VIL655388:VIL655391 VSH655388:VSH655391 WCD655388:WCD655391 WLZ655388:WLZ655391 WVV655388:WVV655391 N720924:N720927 JJ720924:JJ720927 TF720924:TF720927 ADB720924:ADB720927 AMX720924:AMX720927 AWT720924:AWT720927 BGP720924:BGP720927 BQL720924:BQL720927 CAH720924:CAH720927 CKD720924:CKD720927 CTZ720924:CTZ720927 DDV720924:DDV720927 DNR720924:DNR720927 DXN720924:DXN720927 EHJ720924:EHJ720927 ERF720924:ERF720927 FBB720924:FBB720927 FKX720924:FKX720927 FUT720924:FUT720927 GEP720924:GEP720927 GOL720924:GOL720927 GYH720924:GYH720927 HID720924:HID720927 HRZ720924:HRZ720927 IBV720924:IBV720927 ILR720924:ILR720927 IVN720924:IVN720927 JFJ720924:JFJ720927 JPF720924:JPF720927 JZB720924:JZB720927 KIX720924:KIX720927 KST720924:KST720927 LCP720924:LCP720927 LML720924:LML720927 LWH720924:LWH720927 MGD720924:MGD720927 MPZ720924:MPZ720927 MZV720924:MZV720927 NJR720924:NJR720927 NTN720924:NTN720927 ODJ720924:ODJ720927 ONF720924:ONF720927 OXB720924:OXB720927 PGX720924:PGX720927 PQT720924:PQT720927 QAP720924:QAP720927 QKL720924:QKL720927 QUH720924:QUH720927 RED720924:RED720927 RNZ720924:RNZ720927 RXV720924:RXV720927 SHR720924:SHR720927 SRN720924:SRN720927 TBJ720924:TBJ720927 TLF720924:TLF720927 TVB720924:TVB720927 UEX720924:UEX720927 UOT720924:UOT720927 UYP720924:UYP720927 VIL720924:VIL720927 VSH720924:VSH720927 WCD720924:WCD720927 WLZ720924:WLZ720927 WVV720924:WVV720927 N786460:N786463 JJ786460:JJ786463 TF786460:TF786463 ADB786460:ADB786463 AMX786460:AMX786463 AWT786460:AWT786463 BGP786460:BGP786463 BQL786460:BQL786463 CAH786460:CAH786463 CKD786460:CKD786463 CTZ786460:CTZ786463 DDV786460:DDV786463 DNR786460:DNR786463 DXN786460:DXN786463 EHJ786460:EHJ786463 ERF786460:ERF786463 FBB786460:FBB786463 FKX786460:FKX786463 FUT786460:FUT786463 GEP786460:GEP786463 GOL786460:GOL786463 GYH786460:GYH786463 HID786460:HID786463 HRZ786460:HRZ786463 IBV786460:IBV786463 ILR786460:ILR786463 IVN786460:IVN786463 JFJ786460:JFJ786463 JPF786460:JPF786463 JZB786460:JZB786463 KIX786460:KIX786463 KST786460:KST786463 LCP786460:LCP786463 LML786460:LML786463 LWH786460:LWH786463 MGD786460:MGD786463 MPZ786460:MPZ786463 MZV786460:MZV786463 NJR786460:NJR786463 NTN786460:NTN786463 ODJ786460:ODJ786463 ONF786460:ONF786463 OXB786460:OXB786463 PGX786460:PGX786463 PQT786460:PQT786463 QAP786460:QAP786463 QKL786460:QKL786463 QUH786460:QUH786463 RED786460:RED786463 RNZ786460:RNZ786463 RXV786460:RXV786463 SHR786460:SHR786463 SRN786460:SRN786463 TBJ786460:TBJ786463 TLF786460:TLF786463 TVB786460:TVB786463 UEX786460:UEX786463 UOT786460:UOT786463 UYP786460:UYP786463 VIL786460:VIL786463 VSH786460:VSH786463 WCD786460:WCD786463 WLZ786460:WLZ786463 WVV786460:WVV786463 N851996:N851999 JJ851996:JJ851999 TF851996:TF851999 ADB851996:ADB851999 AMX851996:AMX851999 AWT851996:AWT851999 BGP851996:BGP851999 BQL851996:BQL851999 CAH851996:CAH851999 CKD851996:CKD851999 CTZ851996:CTZ851999 DDV851996:DDV851999 DNR851996:DNR851999 DXN851996:DXN851999 EHJ851996:EHJ851999 ERF851996:ERF851999 FBB851996:FBB851999 FKX851996:FKX851999 FUT851996:FUT851999 GEP851996:GEP851999 GOL851996:GOL851999 GYH851996:GYH851999 HID851996:HID851999 HRZ851996:HRZ851999 IBV851996:IBV851999 ILR851996:ILR851999 IVN851996:IVN851999 JFJ851996:JFJ851999 JPF851996:JPF851999 JZB851996:JZB851999 KIX851996:KIX851999 KST851996:KST851999 LCP851996:LCP851999 LML851996:LML851999 LWH851996:LWH851999 MGD851996:MGD851999 MPZ851996:MPZ851999 MZV851996:MZV851999 NJR851996:NJR851999 NTN851996:NTN851999 ODJ851996:ODJ851999 ONF851996:ONF851999 OXB851996:OXB851999 PGX851996:PGX851999 PQT851996:PQT851999 QAP851996:QAP851999 QKL851996:QKL851999 QUH851996:QUH851999 RED851996:RED851999 RNZ851996:RNZ851999 RXV851996:RXV851999 SHR851996:SHR851999 SRN851996:SRN851999 TBJ851996:TBJ851999 TLF851996:TLF851999 TVB851996:TVB851999 UEX851996:UEX851999 UOT851996:UOT851999 UYP851996:UYP851999 VIL851996:VIL851999 VSH851996:VSH851999 WCD851996:WCD851999 WLZ851996:WLZ851999 WVV851996:WVV851999 N917532:N917535 JJ917532:JJ917535 TF917532:TF917535 ADB917532:ADB917535 AMX917532:AMX917535 AWT917532:AWT917535 BGP917532:BGP917535 BQL917532:BQL917535 CAH917532:CAH917535 CKD917532:CKD917535 CTZ917532:CTZ917535 DDV917532:DDV917535 DNR917532:DNR917535 DXN917532:DXN917535 EHJ917532:EHJ917535 ERF917532:ERF917535 FBB917532:FBB917535 FKX917532:FKX917535 FUT917532:FUT917535 GEP917532:GEP917535 GOL917532:GOL917535 GYH917532:GYH917535 HID917532:HID917535 HRZ917532:HRZ917535 IBV917532:IBV917535 ILR917532:ILR917535 IVN917532:IVN917535 JFJ917532:JFJ917535 JPF917532:JPF917535 JZB917532:JZB917535 KIX917532:KIX917535 KST917532:KST917535 LCP917532:LCP917535 LML917532:LML917535 LWH917532:LWH917535 MGD917532:MGD917535 MPZ917532:MPZ917535 MZV917532:MZV917535 NJR917532:NJR917535 NTN917532:NTN917535 ODJ917532:ODJ917535 ONF917532:ONF917535 OXB917532:OXB917535 PGX917532:PGX917535 PQT917532:PQT917535 QAP917532:QAP917535 QKL917532:QKL917535 QUH917532:QUH917535 RED917532:RED917535 RNZ917532:RNZ917535 RXV917532:RXV917535 SHR917532:SHR917535 SRN917532:SRN917535 TBJ917532:TBJ917535 TLF917532:TLF917535 TVB917532:TVB917535 UEX917532:UEX917535 UOT917532:UOT917535 UYP917532:UYP917535 VIL917532:VIL917535 VSH917532:VSH917535 WCD917532:WCD917535 WLZ917532:WLZ917535 WVV917532:WVV917535 N983068:N983071 JJ983068:JJ983071 TF983068:TF983071 ADB983068:ADB983071 AMX983068:AMX983071 AWT983068:AWT983071 BGP983068:BGP983071 BQL983068:BQL983071 CAH983068:CAH983071 CKD983068:CKD983071 CTZ983068:CTZ983071 DDV983068:DDV983071 DNR983068:DNR983071 DXN983068:DXN983071 EHJ983068:EHJ983071 ERF983068:ERF983071 FBB983068:FBB983071 FKX983068:FKX983071 FUT983068:FUT983071 GEP983068:GEP983071 GOL983068:GOL983071 GYH983068:GYH983071 HID983068:HID983071 HRZ983068:HRZ983071 IBV983068:IBV983071 ILR983068:ILR983071 IVN983068:IVN983071 JFJ983068:JFJ983071 JPF983068:JPF983071 JZB983068:JZB983071 KIX983068:KIX983071 KST983068:KST983071 LCP983068:LCP983071 LML983068:LML983071 LWH983068:LWH983071 MGD983068:MGD983071 MPZ983068:MPZ983071 MZV983068:MZV983071 NJR983068:NJR983071 NTN983068:NTN983071 ODJ983068:ODJ983071 ONF983068:ONF983071 OXB983068:OXB983071 PGX983068:PGX983071 PQT983068:PQT983071 QAP983068:QAP983071 QKL983068:QKL983071 QUH983068:QUH983071 RED983068:RED983071 RNZ983068:RNZ983071 RXV983068:RXV983071 SHR983068:SHR983071 SRN983068:SRN983071 TBJ983068:TBJ983071 TLF983068:TLF983071 TVB983068:TVB983071 UEX983068:UEX983071 UOT983068:UOT983071 UYP983068:UYP983071 VIL983068:VIL983071 VSH983068:VSH983071 WCD983068:WCD983071 WLZ983068:WLZ983071 WVV983068:WVV983071">
      <formula1>"是,否,有产权资产"</formula1>
    </dataValidation>
    <dataValidation type="list" allowBlank="1" showInputMessage="1" sqref="N16:N27 JJ16:JJ27 TF16:TF27 ADB16:ADB27 AMX16:AMX27 AWT16:AWT27 BGP16:BGP27 BQL16:BQL27 CAH16:CAH27 CKD16:CKD27 CTZ16:CTZ27 DDV16:DDV27 DNR16:DNR27 DXN16:DXN27 EHJ16:EHJ27 ERF16:ERF27 FBB16:FBB27 FKX16:FKX27 FUT16:FUT27 GEP16:GEP27 GOL16:GOL27 GYH16:GYH27 HID16:HID27 HRZ16:HRZ27 IBV16:IBV27 ILR16:ILR27 IVN16:IVN27 JFJ16:JFJ27 JPF16:JPF27 JZB16:JZB27 KIX16:KIX27 KST16:KST27 LCP16:LCP27 LML16:LML27 LWH16:LWH27 MGD16:MGD27 MPZ16:MPZ27 MZV16:MZV27 NJR16:NJR27 NTN16:NTN27 ODJ16:ODJ27 ONF16:ONF27 OXB16:OXB27 PGX16:PGX27 PQT16:PQT27 QAP16:QAP27 QKL16:QKL27 QUH16:QUH27 RED16:RED27 RNZ16:RNZ27 RXV16:RXV27 SHR16:SHR27 SRN16:SRN27 TBJ16:TBJ27 TLF16:TLF27 TVB16:TVB27 UEX16:UEX27 UOT16:UOT27 UYP16:UYP27 VIL16:VIL27 VSH16:VSH27 WCD16:WCD27 WLZ16:WLZ27 WVV16:WVV27 N65552:N65563 JJ65552:JJ65563 TF65552:TF65563 ADB65552:ADB65563 AMX65552:AMX65563 AWT65552:AWT65563 BGP65552:BGP65563 BQL65552:BQL65563 CAH65552:CAH65563 CKD65552:CKD65563 CTZ65552:CTZ65563 DDV65552:DDV65563 DNR65552:DNR65563 DXN65552:DXN65563 EHJ65552:EHJ65563 ERF65552:ERF65563 FBB65552:FBB65563 FKX65552:FKX65563 FUT65552:FUT65563 GEP65552:GEP65563 GOL65552:GOL65563 GYH65552:GYH65563 HID65552:HID65563 HRZ65552:HRZ65563 IBV65552:IBV65563 ILR65552:ILR65563 IVN65552:IVN65563 JFJ65552:JFJ65563 JPF65552:JPF65563 JZB65552:JZB65563 KIX65552:KIX65563 KST65552:KST65563 LCP65552:LCP65563 LML65552:LML65563 LWH65552:LWH65563 MGD65552:MGD65563 MPZ65552:MPZ65563 MZV65552:MZV65563 NJR65552:NJR65563 NTN65552:NTN65563 ODJ65552:ODJ65563 ONF65552:ONF65563 OXB65552:OXB65563 PGX65552:PGX65563 PQT65552:PQT65563 QAP65552:QAP65563 QKL65552:QKL65563 QUH65552:QUH65563 RED65552:RED65563 RNZ65552:RNZ65563 RXV65552:RXV65563 SHR65552:SHR65563 SRN65552:SRN65563 TBJ65552:TBJ65563 TLF65552:TLF65563 TVB65552:TVB65563 UEX65552:UEX65563 UOT65552:UOT65563 UYP65552:UYP65563 VIL65552:VIL65563 VSH65552:VSH65563 WCD65552:WCD65563 WLZ65552:WLZ65563 WVV65552:WVV65563 N131088:N131099 JJ131088:JJ131099 TF131088:TF131099 ADB131088:ADB131099 AMX131088:AMX131099 AWT131088:AWT131099 BGP131088:BGP131099 BQL131088:BQL131099 CAH131088:CAH131099 CKD131088:CKD131099 CTZ131088:CTZ131099 DDV131088:DDV131099 DNR131088:DNR131099 DXN131088:DXN131099 EHJ131088:EHJ131099 ERF131088:ERF131099 FBB131088:FBB131099 FKX131088:FKX131099 FUT131088:FUT131099 GEP131088:GEP131099 GOL131088:GOL131099 GYH131088:GYH131099 HID131088:HID131099 HRZ131088:HRZ131099 IBV131088:IBV131099 ILR131088:ILR131099 IVN131088:IVN131099 JFJ131088:JFJ131099 JPF131088:JPF131099 JZB131088:JZB131099 KIX131088:KIX131099 KST131088:KST131099 LCP131088:LCP131099 LML131088:LML131099 LWH131088:LWH131099 MGD131088:MGD131099 MPZ131088:MPZ131099 MZV131088:MZV131099 NJR131088:NJR131099 NTN131088:NTN131099 ODJ131088:ODJ131099 ONF131088:ONF131099 OXB131088:OXB131099 PGX131088:PGX131099 PQT131088:PQT131099 QAP131088:QAP131099 QKL131088:QKL131099 QUH131088:QUH131099 RED131088:RED131099 RNZ131088:RNZ131099 RXV131088:RXV131099 SHR131088:SHR131099 SRN131088:SRN131099 TBJ131088:TBJ131099 TLF131088:TLF131099 TVB131088:TVB131099 UEX131088:UEX131099 UOT131088:UOT131099 UYP131088:UYP131099 VIL131088:VIL131099 VSH131088:VSH131099 WCD131088:WCD131099 WLZ131088:WLZ131099 WVV131088:WVV131099 N196624:N196635 JJ196624:JJ196635 TF196624:TF196635 ADB196624:ADB196635 AMX196624:AMX196635 AWT196624:AWT196635 BGP196624:BGP196635 BQL196624:BQL196635 CAH196624:CAH196635 CKD196624:CKD196635 CTZ196624:CTZ196635 DDV196624:DDV196635 DNR196624:DNR196635 DXN196624:DXN196635 EHJ196624:EHJ196635 ERF196624:ERF196635 FBB196624:FBB196635 FKX196624:FKX196635 FUT196624:FUT196635 GEP196624:GEP196635 GOL196624:GOL196635 GYH196624:GYH196635 HID196624:HID196635 HRZ196624:HRZ196635 IBV196624:IBV196635 ILR196624:ILR196635 IVN196624:IVN196635 JFJ196624:JFJ196635 JPF196624:JPF196635 JZB196624:JZB196635 KIX196624:KIX196635 KST196624:KST196635 LCP196624:LCP196635 LML196624:LML196635 LWH196624:LWH196635 MGD196624:MGD196635 MPZ196624:MPZ196635 MZV196624:MZV196635 NJR196624:NJR196635 NTN196624:NTN196635 ODJ196624:ODJ196635 ONF196624:ONF196635 OXB196624:OXB196635 PGX196624:PGX196635 PQT196624:PQT196635 QAP196624:QAP196635 QKL196624:QKL196635 QUH196624:QUH196635 RED196624:RED196635 RNZ196624:RNZ196635 RXV196624:RXV196635 SHR196624:SHR196635 SRN196624:SRN196635 TBJ196624:TBJ196635 TLF196624:TLF196635 TVB196624:TVB196635 UEX196624:UEX196635 UOT196624:UOT196635 UYP196624:UYP196635 VIL196624:VIL196635 VSH196624:VSH196635 WCD196624:WCD196635 WLZ196624:WLZ196635 WVV196624:WVV196635 N262160:N262171 JJ262160:JJ262171 TF262160:TF262171 ADB262160:ADB262171 AMX262160:AMX262171 AWT262160:AWT262171 BGP262160:BGP262171 BQL262160:BQL262171 CAH262160:CAH262171 CKD262160:CKD262171 CTZ262160:CTZ262171 DDV262160:DDV262171 DNR262160:DNR262171 DXN262160:DXN262171 EHJ262160:EHJ262171 ERF262160:ERF262171 FBB262160:FBB262171 FKX262160:FKX262171 FUT262160:FUT262171 GEP262160:GEP262171 GOL262160:GOL262171 GYH262160:GYH262171 HID262160:HID262171 HRZ262160:HRZ262171 IBV262160:IBV262171 ILR262160:ILR262171 IVN262160:IVN262171 JFJ262160:JFJ262171 JPF262160:JPF262171 JZB262160:JZB262171 KIX262160:KIX262171 KST262160:KST262171 LCP262160:LCP262171 LML262160:LML262171 LWH262160:LWH262171 MGD262160:MGD262171 MPZ262160:MPZ262171 MZV262160:MZV262171 NJR262160:NJR262171 NTN262160:NTN262171 ODJ262160:ODJ262171 ONF262160:ONF262171 OXB262160:OXB262171 PGX262160:PGX262171 PQT262160:PQT262171 QAP262160:QAP262171 QKL262160:QKL262171 QUH262160:QUH262171 RED262160:RED262171 RNZ262160:RNZ262171 RXV262160:RXV262171 SHR262160:SHR262171 SRN262160:SRN262171 TBJ262160:TBJ262171 TLF262160:TLF262171 TVB262160:TVB262171 UEX262160:UEX262171 UOT262160:UOT262171 UYP262160:UYP262171 VIL262160:VIL262171 VSH262160:VSH262171 WCD262160:WCD262171 WLZ262160:WLZ262171 WVV262160:WVV262171 N327696:N327707 JJ327696:JJ327707 TF327696:TF327707 ADB327696:ADB327707 AMX327696:AMX327707 AWT327696:AWT327707 BGP327696:BGP327707 BQL327696:BQL327707 CAH327696:CAH327707 CKD327696:CKD327707 CTZ327696:CTZ327707 DDV327696:DDV327707 DNR327696:DNR327707 DXN327696:DXN327707 EHJ327696:EHJ327707 ERF327696:ERF327707 FBB327696:FBB327707 FKX327696:FKX327707 FUT327696:FUT327707 GEP327696:GEP327707 GOL327696:GOL327707 GYH327696:GYH327707 HID327696:HID327707 HRZ327696:HRZ327707 IBV327696:IBV327707 ILR327696:ILR327707 IVN327696:IVN327707 JFJ327696:JFJ327707 JPF327696:JPF327707 JZB327696:JZB327707 KIX327696:KIX327707 KST327696:KST327707 LCP327696:LCP327707 LML327696:LML327707 LWH327696:LWH327707 MGD327696:MGD327707 MPZ327696:MPZ327707 MZV327696:MZV327707 NJR327696:NJR327707 NTN327696:NTN327707 ODJ327696:ODJ327707 ONF327696:ONF327707 OXB327696:OXB327707 PGX327696:PGX327707 PQT327696:PQT327707 QAP327696:QAP327707 QKL327696:QKL327707 QUH327696:QUH327707 RED327696:RED327707 RNZ327696:RNZ327707 RXV327696:RXV327707 SHR327696:SHR327707 SRN327696:SRN327707 TBJ327696:TBJ327707 TLF327696:TLF327707 TVB327696:TVB327707 UEX327696:UEX327707 UOT327696:UOT327707 UYP327696:UYP327707 VIL327696:VIL327707 VSH327696:VSH327707 WCD327696:WCD327707 WLZ327696:WLZ327707 WVV327696:WVV327707 N393232:N393243 JJ393232:JJ393243 TF393232:TF393243 ADB393232:ADB393243 AMX393232:AMX393243 AWT393232:AWT393243 BGP393232:BGP393243 BQL393232:BQL393243 CAH393232:CAH393243 CKD393232:CKD393243 CTZ393232:CTZ393243 DDV393232:DDV393243 DNR393232:DNR393243 DXN393232:DXN393243 EHJ393232:EHJ393243 ERF393232:ERF393243 FBB393232:FBB393243 FKX393232:FKX393243 FUT393232:FUT393243 GEP393232:GEP393243 GOL393232:GOL393243 GYH393232:GYH393243 HID393232:HID393243 HRZ393232:HRZ393243 IBV393232:IBV393243 ILR393232:ILR393243 IVN393232:IVN393243 JFJ393232:JFJ393243 JPF393232:JPF393243 JZB393232:JZB393243 KIX393232:KIX393243 KST393232:KST393243 LCP393232:LCP393243 LML393232:LML393243 LWH393232:LWH393243 MGD393232:MGD393243 MPZ393232:MPZ393243 MZV393232:MZV393243 NJR393232:NJR393243 NTN393232:NTN393243 ODJ393232:ODJ393243 ONF393232:ONF393243 OXB393232:OXB393243 PGX393232:PGX393243 PQT393232:PQT393243 QAP393232:QAP393243 QKL393232:QKL393243 QUH393232:QUH393243 RED393232:RED393243 RNZ393232:RNZ393243 RXV393232:RXV393243 SHR393232:SHR393243 SRN393232:SRN393243 TBJ393232:TBJ393243 TLF393232:TLF393243 TVB393232:TVB393243 UEX393232:UEX393243 UOT393232:UOT393243 UYP393232:UYP393243 VIL393232:VIL393243 VSH393232:VSH393243 WCD393232:WCD393243 WLZ393232:WLZ393243 WVV393232:WVV393243 N458768:N458779 JJ458768:JJ458779 TF458768:TF458779 ADB458768:ADB458779 AMX458768:AMX458779 AWT458768:AWT458779 BGP458768:BGP458779 BQL458768:BQL458779 CAH458768:CAH458779 CKD458768:CKD458779 CTZ458768:CTZ458779 DDV458768:DDV458779 DNR458768:DNR458779 DXN458768:DXN458779 EHJ458768:EHJ458779 ERF458768:ERF458779 FBB458768:FBB458779 FKX458768:FKX458779 FUT458768:FUT458779 GEP458768:GEP458779 GOL458768:GOL458779 GYH458768:GYH458779 HID458768:HID458779 HRZ458768:HRZ458779 IBV458768:IBV458779 ILR458768:ILR458779 IVN458768:IVN458779 JFJ458768:JFJ458779 JPF458768:JPF458779 JZB458768:JZB458779 KIX458768:KIX458779 KST458768:KST458779 LCP458768:LCP458779 LML458768:LML458779 LWH458768:LWH458779 MGD458768:MGD458779 MPZ458768:MPZ458779 MZV458768:MZV458779 NJR458768:NJR458779 NTN458768:NTN458779 ODJ458768:ODJ458779 ONF458768:ONF458779 OXB458768:OXB458779 PGX458768:PGX458779 PQT458768:PQT458779 QAP458768:QAP458779 QKL458768:QKL458779 QUH458768:QUH458779 RED458768:RED458779 RNZ458768:RNZ458779 RXV458768:RXV458779 SHR458768:SHR458779 SRN458768:SRN458779 TBJ458768:TBJ458779 TLF458768:TLF458779 TVB458768:TVB458779 UEX458768:UEX458779 UOT458768:UOT458779 UYP458768:UYP458779 VIL458768:VIL458779 VSH458768:VSH458779 WCD458768:WCD458779 WLZ458768:WLZ458779 WVV458768:WVV458779 N524304:N524315 JJ524304:JJ524315 TF524304:TF524315 ADB524304:ADB524315 AMX524304:AMX524315 AWT524304:AWT524315 BGP524304:BGP524315 BQL524304:BQL524315 CAH524304:CAH524315 CKD524304:CKD524315 CTZ524304:CTZ524315 DDV524304:DDV524315 DNR524304:DNR524315 DXN524304:DXN524315 EHJ524304:EHJ524315 ERF524304:ERF524315 FBB524304:FBB524315 FKX524304:FKX524315 FUT524304:FUT524315 GEP524304:GEP524315 GOL524304:GOL524315 GYH524304:GYH524315 HID524304:HID524315 HRZ524304:HRZ524315 IBV524304:IBV524315 ILR524304:ILR524315 IVN524304:IVN524315 JFJ524304:JFJ524315 JPF524304:JPF524315 JZB524304:JZB524315 KIX524304:KIX524315 KST524304:KST524315 LCP524304:LCP524315 LML524304:LML524315 LWH524304:LWH524315 MGD524304:MGD524315 MPZ524304:MPZ524315 MZV524304:MZV524315 NJR524304:NJR524315 NTN524304:NTN524315 ODJ524304:ODJ524315 ONF524304:ONF524315 OXB524304:OXB524315 PGX524304:PGX524315 PQT524304:PQT524315 QAP524304:QAP524315 QKL524304:QKL524315 QUH524304:QUH524315 RED524304:RED524315 RNZ524304:RNZ524315 RXV524304:RXV524315 SHR524304:SHR524315 SRN524304:SRN524315 TBJ524304:TBJ524315 TLF524304:TLF524315 TVB524304:TVB524315 UEX524304:UEX524315 UOT524304:UOT524315 UYP524304:UYP524315 VIL524304:VIL524315 VSH524304:VSH524315 WCD524304:WCD524315 WLZ524304:WLZ524315 WVV524304:WVV524315 N589840:N589851 JJ589840:JJ589851 TF589840:TF589851 ADB589840:ADB589851 AMX589840:AMX589851 AWT589840:AWT589851 BGP589840:BGP589851 BQL589840:BQL589851 CAH589840:CAH589851 CKD589840:CKD589851 CTZ589840:CTZ589851 DDV589840:DDV589851 DNR589840:DNR589851 DXN589840:DXN589851 EHJ589840:EHJ589851 ERF589840:ERF589851 FBB589840:FBB589851 FKX589840:FKX589851 FUT589840:FUT589851 GEP589840:GEP589851 GOL589840:GOL589851 GYH589840:GYH589851 HID589840:HID589851 HRZ589840:HRZ589851 IBV589840:IBV589851 ILR589840:ILR589851 IVN589840:IVN589851 JFJ589840:JFJ589851 JPF589840:JPF589851 JZB589840:JZB589851 KIX589840:KIX589851 KST589840:KST589851 LCP589840:LCP589851 LML589840:LML589851 LWH589840:LWH589851 MGD589840:MGD589851 MPZ589840:MPZ589851 MZV589840:MZV589851 NJR589840:NJR589851 NTN589840:NTN589851 ODJ589840:ODJ589851 ONF589840:ONF589851 OXB589840:OXB589851 PGX589840:PGX589851 PQT589840:PQT589851 QAP589840:QAP589851 QKL589840:QKL589851 QUH589840:QUH589851 RED589840:RED589851 RNZ589840:RNZ589851 RXV589840:RXV589851 SHR589840:SHR589851 SRN589840:SRN589851 TBJ589840:TBJ589851 TLF589840:TLF589851 TVB589840:TVB589851 UEX589840:UEX589851 UOT589840:UOT589851 UYP589840:UYP589851 VIL589840:VIL589851 VSH589840:VSH589851 WCD589840:WCD589851 WLZ589840:WLZ589851 WVV589840:WVV589851 N655376:N655387 JJ655376:JJ655387 TF655376:TF655387 ADB655376:ADB655387 AMX655376:AMX655387 AWT655376:AWT655387 BGP655376:BGP655387 BQL655376:BQL655387 CAH655376:CAH655387 CKD655376:CKD655387 CTZ655376:CTZ655387 DDV655376:DDV655387 DNR655376:DNR655387 DXN655376:DXN655387 EHJ655376:EHJ655387 ERF655376:ERF655387 FBB655376:FBB655387 FKX655376:FKX655387 FUT655376:FUT655387 GEP655376:GEP655387 GOL655376:GOL655387 GYH655376:GYH655387 HID655376:HID655387 HRZ655376:HRZ655387 IBV655376:IBV655387 ILR655376:ILR655387 IVN655376:IVN655387 JFJ655376:JFJ655387 JPF655376:JPF655387 JZB655376:JZB655387 KIX655376:KIX655387 KST655376:KST655387 LCP655376:LCP655387 LML655376:LML655387 LWH655376:LWH655387 MGD655376:MGD655387 MPZ655376:MPZ655387 MZV655376:MZV655387 NJR655376:NJR655387 NTN655376:NTN655387 ODJ655376:ODJ655387 ONF655376:ONF655387 OXB655376:OXB655387 PGX655376:PGX655387 PQT655376:PQT655387 QAP655376:QAP655387 QKL655376:QKL655387 QUH655376:QUH655387 RED655376:RED655387 RNZ655376:RNZ655387 RXV655376:RXV655387 SHR655376:SHR655387 SRN655376:SRN655387 TBJ655376:TBJ655387 TLF655376:TLF655387 TVB655376:TVB655387 UEX655376:UEX655387 UOT655376:UOT655387 UYP655376:UYP655387 VIL655376:VIL655387 VSH655376:VSH655387 WCD655376:WCD655387 WLZ655376:WLZ655387 WVV655376:WVV655387 N720912:N720923 JJ720912:JJ720923 TF720912:TF720923 ADB720912:ADB720923 AMX720912:AMX720923 AWT720912:AWT720923 BGP720912:BGP720923 BQL720912:BQL720923 CAH720912:CAH720923 CKD720912:CKD720923 CTZ720912:CTZ720923 DDV720912:DDV720923 DNR720912:DNR720923 DXN720912:DXN720923 EHJ720912:EHJ720923 ERF720912:ERF720923 FBB720912:FBB720923 FKX720912:FKX720923 FUT720912:FUT720923 GEP720912:GEP720923 GOL720912:GOL720923 GYH720912:GYH720923 HID720912:HID720923 HRZ720912:HRZ720923 IBV720912:IBV720923 ILR720912:ILR720923 IVN720912:IVN720923 JFJ720912:JFJ720923 JPF720912:JPF720923 JZB720912:JZB720923 KIX720912:KIX720923 KST720912:KST720923 LCP720912:LCP720923 LML720912:LML720923 LWH720912:LWH720923 MGD720912:MGD720923 MPZ720912:MPZ720923 MZV720912:MZV720923 NJR720912:NJR720923 NTN720912:NTN720923 ODJ720912:ODJ720923 ONF720912:ONF720923 OXB720912:OXB720923 PGX720912:PGX720923 PQT720912:PQT720923 QAP720912:QAP720923 QKL720912:QKL720923 QUH720912:QUH720923 RED720912:RED720923 RNZ720912:RNZ720923 RXV720912:RXV720923 SHR720912:SHR720923 SRN720912:SRN720923 TBJ720912:TBJ720923 TLF720912:TLF720923 TVB720912:TVB720923 UEX720912:UEX720923 UOT720912:UOT720923 UYP720912:UYP720923 VIL720912:VIL720923 VSH720912:VSH720923 WCD720912:WCD720923 WLZ720912:WLZ720923 WVV720912:WVV720923 N786448:N786459 JJ786448:JJ786459 TF786448:TF786459 ADB786448:ADB786459 AMX786448:AMX786459 AWT786448:AWT786459 BGP786448:BGP786459 BQL786448:BQL786459 CAH786448:CAH786459 CKD786448:CKD786459 CTZ786448:CTZ786459 DDV786448:DDV786459 DNR786448:DNR786459 DXN786448:DXN786459 EHJ786448:EHJ786459 ERF786448:ERF786459 FBB786448:FBB786459 FKX786448:FKX786459 FUT786448:FUT786459 GEP786448:GEP786459 GOL786448:GOL786459 GYH786448:GYH786459 HID786448:HID786459 HRZ786448:HRZ786459 IBV786448:IBV786459 ILR786448:ILR786459 IVN786448:IVN786459 JFJ786448:JFJ786459 JPF786448:JPF786459 JZB786448:JZB786459 KIX786448:KIX786459 KST786448:KST786459 LCP786448:LCP786459 LML786448:LML786459 LWH786448:LWH786459 MGD786448:MGD786459 MPZ786448:MPZ786459 MZV786448:MZV786459 NJR786448:NJR786459 NTN786448:NTN786459 ODJ786448:ODJ786459 ONF786448:ONF786459 OXB786448:OXB786459 PGX786448:PGX786459 PQT786448:PQT786459 QAP786448:QAP786459 QKL786448:QKL786459 QUH786448:QUH786459 RED786448:RED786459 RNZ786448:RNZ786459 RXV786448:RXV786459 SHR786448:SHR786459 SRN786448:SRN786459 TBJ786448:TBJ786459 TLF786448:TLF786459 TVB786448:TVB786459 UEX786448:UEX786459 UOT786448:UOT786459 UYP786448:UYP786459 VIL786448:VIL786459 VSH786448:VSH786459 WCD786448:WCD786459 WLZ786448:WLZ786459 WVV786448:WVV786459 N851984:N851995 JJ851984:JJ851995 TF851984:TF851995 ADB851984:ADB851995 AMX851984:AMX851995 AWT851984:AWT851995 BGP851984:BGP851995 BQL851984:BQL851995 CAH851984:CAH851995 CKD851984:CKD851995 CTZ851984:CTZ851995 DDV851984:DDV851995 DNR851984:DNR851995 DXN851984:DXN851995 EHJ851984:EHJ851995 ERF851984:ERF851995 FBB851984:FBB851995 FKX851984:FKX851995 FUT851984:FUT851995 GEP851984:GEP851995 GOL851984:GOL851995 GYH851984:GYH851995 HID851984:HID851995 HRZ851984:HRZ851995 IBV851984:IBV851995 ILR851984:ILR851995 IVN851984:IVN851995 JFJ851984:JFJ851995 JPF851984:JPF851995 JZB851984:JZB851995 KIX851984:KIX851995 KST851984:KST851995 LCP851984:LCP851995 LML851984:LML851995 LWH851984:LWH851995 MGD851984:MGD851995 MPZ851984:MPZ851995 MZV851984:MZV851995 NJR851984:NJR851995 NTN851984:NTN851995 ODJ851984:ODJ851995 ONF851984:ONF851995 OXB851984:OXB851995 PGX851984:PGX851995 PQT851984:PQT851995 QAP851984:QAP851995 QKL851984:QKL851995 QUH851984:QUH851995 RED851984:RED851995 RNZ851984:RNZ851995 RXV851984:RXV851995 SHR851984:SHR851995 SRN851984:SRN851995 TBJ851984:TBJ851995 TLF851984:TLF851995 TVB851984:TVB851995 UEX851984:UEX851995 UOT851984:UOT851995 UYP851984:UYP851995 VIL851984:VIL851995 VSH851984:VSH851995 WCD851984:WCD851995 WLZ851984:WLZ851995 WVV851984:WVV851995 N917520:N917531 JJ917520:JJ917531 TF917520:TF917531 ADB917520:ADB917531 AMX917520:AMX917531 AWT917520:AWT917531 BGP917520:BGP917531 BQL917520:BQL917531 CAH917520:CAH917531 CKD917520:CKD917531 CTZ917520:CTZ917531 DDV917520:DDV917531 DNR917520:DNR917531 DXN917520:DXN917531 EHJ917520:EHJ917531 ERF917520:ERF917531 FBB917520:FBB917531 FKX917520:FKX917531 FUT917520:FUT917531 GEP917520:GEP917531 GOL917520:GOL917531 GYH917520:GYH917531 HID917520:HID917531 HRZ917520:HRZ917531 IBV917520:IBV917531 ILR917520:ILR917531 IVN917520:IVN917531 JFJ917520:JFJ917531 JPF917520:JPF917531 JZB917520:JZB917531 KIX917520:KIX917531 KST917520:KST917531 LCP917520:LCP917531 LML917520:LML917531 LWH917520:LWH917531 MGD917520:MGD917531 MPZ917520:MPZ917531 MZV917520:MZV917531 NJR917520:NJR917531 NTN917520:NTN917531 ODJ917520:ODJ917531 ONF917520:ONF917531 OXB917520:OXB917531 PGX917520:PGX917531 PQT917520:PQT917531 QAP917520:QAP917531 QKL917520:QKL917531 QUH917520:QUH917531 RED917520:RED917531 RNZ917520:RNZ917531 RXV917520:RXV917531 SHR917520:SHR917531 SRN917520:SRN917531 TBJ917520:TBJ917531 TLF917520:TLF917531 TVB917520:TVB917531 UEX917520:UEX917531 UOT917520:UOT917531 UYP917520:UYP917531 VIL917520:VIL917531 VSH917520:VSH917531 WCD917520:WCD917531 WLZ917520:WLZ917531 WVV917520:WVV917531 N983056:N983067 JJ983056:JJ983067 TF983056:TF983067 ADB983056:ADB983067 AMX983056:AMX983067 AWT983056:AWT983067 BGP983056:BGP983067 BQL983056:BQL983067 CAH983056:CAH983067 CKD983056:CKD983067 CTZ983056:CTZ983067 DDV983056:DDV983067 DNR983056:DNR983067 DXN983056:DXN983067 EHJ983056:EHJ983067 ERF983056:ERF983067 FBB983056:FBB983067 FKX983056:FKX983067 FUT983056:FUT983067 GEP983056:GEP983067 GOL983056:GOL983067 GYH983056:GYH983067 HID983056:HID983067 HRZ983056:HRZ983067 IBV983056:IBV983067 ILR983056:ILR983067 IVN983056:IVN983067 JFJ983056:JFJ983067 JPF983056:JPF983067 JZB983056:JZB983067 KIX983056:KIX983067 KST983056:KST983067 LCP983056:LCP983067 LML983056:LML983067 LWH983056:LWH983067 MGD983056:MGD983067 MPZ983056:MPZ983067 MZV983056:MZV983067 NJR983056:NJR983067 NTN983056:NTN983067 ODJ983056:ODJ983067 ONF983056:ONF983067 OXB983056:OXB983067 PGX983056:PGX983067 PQT983056:PQT983067 QAP983056:QAP983067 QKL983056:QKL983067 QUH983056:QUH983067 RED983056:RED983067 RNZ983056:RNZ983067 RXV983056:RXV983067 SHR983056:SHR983067 SRN983056:SRN983067 TBJ983056:TBJ983067 TLF983056:TLF983067 TVB983056:TVB983067 UEX983056:UEX983067 UOT983056:UOT983067 UYP983056:UYP983067 VIL983056:VIL983067 VSH983056:VSH983067 WCD983056:WCD983067 WLZ983056:WLZ983067 WVV983056:WVV983067">
      <formula1>"是,否"</formula1>
    </dataValidation>
    <dataValidation type="list" allowBlank="1" showInputMessage="1" showErrorMessage="1" sqref="K44:K51 JG44:JG51 TC44:TC51 ACY44:ACY51 AMU44:AMU51 AWQ44:AWQ51 BGM44:BGM51 BQI44:BQI51 CAE44:CAE51 CKA44:CKA51 CTW44:CTW51 DDS44:DDS51 DNO44:DNO51 DXK44:DXK51 EHG44:EHG51 ERC44:ERC51 FAY44:FAY51 FKU44:FKU51 FUQ44:FUQ51 GEM44:GEM51 GOI44:GOI51 GYE44:GYE51 HIA44:HIA51 HRW44:HRW51 IBS44:IBS51 ILO44:ILO51 IVK44:IVK51 JFG44:JFG51 JPC44:JPC51 JYY44:JYY51 KIU44:KIU51 KSQ44:KSQ51 LCM44:LCM51 LMI44:LMI51 LWE44:LWE51 MGA44:MGA51 MPW44:MPW51 MZS44:MZS51 NJO44:NJO51 NTK44:NTK51 ODG44:ODG51 ONC44:ONC51 OWY44:OWY51 PGU44:PGU51 PQQ44:PQQ51 QAM44:QAM51 QKI44:QKI51 QUE44:QUE51 REA44:REA51 RNW44:RNW51 RXS44:RXS51 SHO44:SHO51 SRK44:SRK51 TBG44:TBG51 TLC44:TLC51 TUY44:TUY51 UEU44:UEU51 UOQ44:UOQ51 UYM44:UYM51 VII44:VII51 VSE44:VSE51 WCA44:WCA51 WLW44:WLW51 WVS44:WVS51 K65580:K65587 JG65580:JG65587 TC65580:TC65587 ACY65580:ACY65587 AMU65580:AMU65587 AWQ65580:AWQ65587 BGM65580:BGM65587 BQI65580:BQI65587 CAE65580:CAE65587 CKA65580:CKA65587 CTW65580:CTW65587 DDS65580:DDS65587 DNO65580:DNO65587 DXK65580:DXK65587 EHG65580:EHG65587 ERC65580:ERC65587 FAY65580:FAY65587 FKU65580:FKU65587 FUQ65580:FUQ65587 GEM65580:GEM65587 GOI65580:GOI65587 GYE65580:GYE65587 HIA65580:HIA65587 HRW65580:HRW65587 IBS65580:IBS65587 ILO65580:ILO65587 IVK65580:IVK65587 JFG65580:JFG65587 JPC65580:JPC65587 JYY65580:JYY65587 KIU65580:KIU65587 KSQ65580:KSQ65587 LCM65580:LCM65587 LMI65580:LMI65587 LWE65580:LWE65587 MGA65580:MGA65587 MPW65580:MPW65587 MZS65580:MZS65587 NJO65580:NJO65587 NTK65580:NTK65587 ODG65580:ODG65587 ONC65580:ONC65587 OWY65580:OWY65587 PGU65580:PGU65587 PQQ65580:PQQ65587 QAM65580:QAM65587 QKI65580:QKI65587 QUE65580:QUE65587 REA65580:REA65587 RNW65580:RNW65587 RXS65580:RXS65587 SHO65580:SHO65587 SRK65580:SRK65587 TBG65580:TBG65587 TLC65580:TLC65587 TUY65580:TUY65587 UEU65580:UEU65587 UOQ65580:UOQ65587 UYM65580:UYM65587 VII65580:VII65587 VSE65580:VSE65587 WCA65580:WCA65587 WLW65580:WLW65587 WVS65580:WVS65587 K131116:K131123 JG131116:JG131123 TC131116:TC131123 ACY131116:ACY131123 AMU131116:AMU131123 AWQ131116:AWQ131123 BGM131116:BGM131123 BQI131116:BQI131123 CAE131116:CAE131123 CKA131116:CKA131123 CTW131116:CTW131123 DDS131116:DDS131123 DNO131116:DNO131123 DXK131116:DXK131123 EHG131116:EHG131123 ERC131116:ERC131123 FAY131116:FAY131123 FKU131116:FKU131123 FUQ131116:FUQ131123 GEM131116:GEM131123 GOI131116:GOI131123 GYE131116:GYE131123 HIA131116:HIA131123 HRW131116:HRW131123 IBS131116:IBS131123 ILO131116:ILO131123 IVK131116:IVK131123 JFG131116:JFG131123 JPC131116:JPC131123 JYY131116:JYY131123 KIU131116:KIU131123 KSQ131116:KSQ131123 LCM131116:LCM131123 LMI131116:LMI131123 LWE131116:LWE131123 MGA131116:MGA131123 MPW131116:MPW131123 MZS131116:MZS131123 NJO131116:NJO131123 NTK131116:NTK131123 ODG131116:ODG131123 ONC131116:ONC131123 OWY131116:OWY131123 PGU131116:PGU131123 PQQ131116:PQQ131123 QAM131116:QAM131123 QKI131116:QKI131123 QUE131116:QUE131123 REA131116:REA131123 RNW131116:RNW131123 RXS131116:RXS131123 SHO131116:SHO131123 SRK131116:SRK131123 TBG131116:TBG131123 TLC131116:TLC131123 TUY131116:TUY131123 UEU131116:UEU131123 UOQ131116:UOQ131123 UYM131116:UYM131123 VII131116:VII131123 VSE131116:VSE131123 WCA131116:WCA131123 WLW131116:WLW131123 WVS131116:WVS131123 K196652:K196659 JG196652:JG196659 TC196652:TC196659 ACY196652:ACY196659 AMU196652:AMU196659 AWQ196652:AWQ196659 BGM196652:BGM196659 BQI196652:BQI196659 CAE196652:CAE196659 CKA196652:CKA196659 CTW196652:CTW196659 DDS196652:DDS196659 DNO196652:DNO196659 DXK196652:DXK196659 EHG196652:EHG196659 ERC196652:ERC196659 FAY196652:FAY196659 FKU196652:FKU196659 FUQ196652:FUQ196659 GEM196652:GEM196659 GOI196652:GOI196659 GYE196652:GYE196659 HIA196652:HIA196659 HRW196652:HRW196659 IBS196652:IBS196659 ILO196652:ILO196659 IVK196652:IVK196659 JFG196652:JFG196659 JPC196652:JPC196659 JYY196652:JYY196659 KIU196652:KIU196659 KSQ196652:KSQ196659 LCM196652:LCM196659 LMI196652:LMI196659 LWE196652:LWE196659 MGA196652:MGA196659 MPW196652:MPW196659 MZS196652:MZS196659 NJO196652:NJO196659 NTK196652:NTK196659 ODG196652:ODG196659 ONC196652:ONC196659 OWY196652:OWY196659 PGU196652:PGU196659 PQQ196652:PQQ196659 QAM196652:QAM196659 QKI196652:QKI196659 QUE196652:QUE196659 REA196652:REA196659 RNW196652:RNW196659 RXS196652:RXS196659 SHO196652:SHO196659 SRK196652:SRK196659 TBG196652:TBG196659 TLC196652:TLC196659 TUY196652:TUY196659 UEU196652:UEU196659 UOQ196652:UOQ196659 UYM196652:UYM196659 VII196652:VII196659 VSE196652:VSE196659 WCA196652:WCA196659 WLW196652:WLW196659 WVS196652:WVS196659 K262188:K262195 JG262188:JG262195 TC262188:TC262195 ACY262188:ACY262195 AMU262188:AMU262195 AWQ262188:AWQ262195 BGM262188:BGM262195 BQI262188:BQI262195 CAE262188:CAE262195 CKA262188:CKA262195 CTW262188:CTW262195 DDS262188:DDS262195 DNO262188:DNO262195 DXK262188:DXK262195 EHG262188:EHG262195 ERC262188:ERC262195 FAY262188:FAY262195 FKU262188:FKU262195 FUQ262188:FUQ262195 GEM262188:GEM262195 GOI262188:GOI262195 GYE262188:GYE262195 HIA262188:HIA262195 HRW262188:HRW262195 IBS262188:IBS262195 ILO262188:ILO262195 IVK262188:IVK262195 JFG262188:JFG262195 JPC262188:JPC262195 JYY262188:JYY262195 KIU262188:KIU262195 KSQ262188:KSQ262195 LCM262188:LCM262195 LMI262188:LMI262195 LWE262188:LWE262195 MGA262188:MGA262195 MPW262188:MPW262195 MZS262188:MZS262195 NJO262188:NJO262195 NTK262188:NTK262195 ODG262188:ODG262195 ONC262188:ONC262195 OWY262188:OWY262195 PGU262188:PGU262195 PQQ262188:PQQ262195 QAM262188:QAM262195 QKI262188:QKI262195 QUE262188:QUE262195 REA262188:REA262195 RNW262188:RNW262195 RXS262188:RXS262195 SHO262188:SHO262195 SRK262188:SRK262195 TBG262188:TBG262195 TLC262188:TLC262195 TUY262188:TUY262195 UEU262188:UEU262195 UOQ262188:UOQ262195 UYM262188:UYM262195 VII262188:VII262195 VSE262188:VSE262195 WCA262188:WCA262195 WLW262188:WLW262195 WVS262188:WVS262195 K327724:K327731 JG327724:JG327731 TC327724:TC327731 ACY327724:ACY327731 AMU327724:AMU327731 AWQ327724:AWQ327731 BGM327724:BGM327731 BQI327724:BQI327731 CAE327724:CAE327731 CKA327724:CKA327731 CTW327724:CTW327731 DDS327724:DDS327731 DNO327724:DNO327731 DXK327724:DXK327731 EHG327724:EHG327731 ERC327724:ERC327731 FAY327724:FAY327731 FKU327724:FKU327731 FUQ327724:FUQ327731 GEM327724:GEM327731 GOI327724:GOI327731 GYE327724:GYE327731 HIA327724:HIA327731 HRW327724:HRW327731 IBS327724:IBS327731 ILO327724:ILO327731 IVK327724:IVK327731 JFG327724:JFG327731 JPC327724:JPC327731 JYY327724:JYY327731 KIU327724:KIU327731 KSQ327724:KSQ327731 LCM327724:LCM327731 LMI327724:LMI327731 LWE327724:LWE327731 MGA327724:MGA327731 MPW327724:MPW327731 MZS327724:MZS327731 NJO327724:NJO327731 NTK327724:NTK327731 ODG327724:ODG327731 ONC327724:ONC327731 OWY327724:OWY327731 PGU327724:PGU327731 PQQ327724:PQQ327731 QAM327724:QAM327731 QKI327724:QKI327731 QUE327724:QUE327731 REA327724:REA327731 RNW327724:RNW327731 RXS327724:RXS327731 SHO327724:SHO327731 SRK327724:SRK327731 TBG327724:TBG327731 TLC327724:TLC327731 TUY327724:TUY327731 UEU327724:UEU327731 UOQ327724:UOQ327731 UYM327724:UYM327731 VII327724:VII327731 VSE327724:VSE327731 WCA327724:WCA327731 WLW327724:WLW327731 WVS327724:WVS327731 K393260:K393267 JG393260:JG393267 TC393260:TC393267 ACY393260:ACY393267 AMU393260:AMU393267 AWQ393260:AWQ393267 BGM393260:BGM393267 BQI393260:BQI393267 CAE393260:CAE393267 CKA393260:CKA393267 CTW393260:CTW393267 DDS393260:DDS393267 DNO393260:DNO393267 DXK393260:DXK393267 EHG393260:EHG393267 ERC393260:ERC393267 FAY393260:FAY393267 FKU393260:FKU393267 FUQ393260:FUQ393267 GEM393260:GEM393267 GOI393260:GOI393267 GYE393260:GYE393267 HIA393260:HIA393267 HRW393260:HRW393267 IBS393260:IBS393267 ILO393260:ILO393267 IVK393260:IVK393267 JFG393260:JFG393267 JPC393260:JPC393267 JYY393260:JYY393267 KIU393260:KIU393267 KSQ393260:KSQ393267 LCM393260:LCM393267 LMI393260:LMI393267 LWE393260:LWE393267 MGA393260:MGA393267 MPW393260:MPW393267 MZS393260:MZS393267 NJO393260:NJO393267 NTK393260:NTK393267 ODG393260:ODG393267 ONC393260:ONC393267 OWY393260:OWY393267 PGU393260:PGU393267 PQQ393260:PQQ393267 QAM393260:QAM393267 QKI393260:QKI393267 QUE393260:QUE393267 REA393260:REA393267 RNW393260:RNW393267 RXS393260:RXS393267 SHO393260:SHO393267 SRK393260:SRK393267 TBG393260:TBG393267 TLC393260:TLC393267 TUY393260:TUY393267 UEU393260:UEU393267 UOQ393260:UOQ393267 UYM393260:UYM393267 VII393260:VII393267 VSE393260:VSE393267 WCA393260:WCA393267 WLW393260:WLW393267 WVS393260:WVS393267 K458796:K458803 JG458796:JG458803 TC458796:TC458803 ACY458796:ACY458803 AMU458796:AMU458803 AWQ458796:AWQ458803 BGM458796:BGM458803 BQI458796:BQI458803 CAE458796:CAE458803 CKA458796:CKA458803 CTW458796:CTW458803 DDS458796:DDS458803 DNO458796:DNO458803 DXK458796:DXK458803 EHG458796:EHG458803 ERC458796:ERC458803 FAY458796:FAY458803 FKU458796:FKU458803 FUQ458796:FUQ458803 GEM458796:GEM458803 GOI458796:GOI458803 GYE458796:GYE458803 HIA458796:HIA458803 HRW458796:HRW458803 IBS458796:IBS458803 ILO458796:ILO458803 IVK458796:IVK458803 JFG458796:JFG458803 JPC458796:JPC458803 JYY458796:JYY458803 KIU458796:KIU458803 KSQ458796:KSQ458803 LCM458796:LCM458803 LMI458796:LMI458803 LWE458796:LWE458803 MGA458796:MGA458803 MPW458796:MPW458803 MZS458796:MZS458803 NJO458796:NJO458803 NTK458796:NTK458803 ODG458796:ODG458803 ONC458796:ONC458803 OWY458796:OWY458803 PGU458796:PGU458803 PQQ458796:PQQ458803 QAM458796:QAM458803 QKI458796:QKI458803 QUE458796:QUE458803 REA458796:REA458803 RNW458796:RNW458803 RXS458796:RXS458803 SHO458796:SHO458803 SRK458796:SRK458803 TBG458796:TBG458803 TLC458796:TLC458803 TUY458796:TUY458803 UEU458796:UEU458803 UOQ458796:UOQ458803 UYM458796:UYM458803 VII458796:VII458803 VSE458796:VSE458803 WCA458796:WCA458803 WLW458796:WLW458803 WVS458796:WVS458803 K524332:K524339 JG524332:JG524339 TC524332:TC524339 ACY524332:ACY524339 AMU524332:AMU524339 AWQ524332:AWQ524339 BGM524332:BGM524339 BQI524332:BQI524339 CAE524332:CAE524339 CKA524332:CKA524339 CTW524332:CTW524339 DDS524332:DDS524339 DNO524332:DNO524339 DXK524332:DXK524339 EHG524332:EHG524339 ERC524332:ERC524339 FAY524332:FAY524339 FKU524332:FKU524339 FUQ524332:FUQ524339 GEM524332:GEM524339 GOI524332:GOI524339 GYE524332:GYE524339 HIA524332:HIA524339 HRW524332:HRW524339 IBS524332:IBS524339 ILO524332:ILO524339 IVK524332:IVK524339 JFG524332:JFG524339 JPC524332:JPC524339 JYY524332:JYY524339 KIU524332:KIU524339 KSQ524332:KSQ524339 LCM524332:LCM524339 LMI524332:LMI524339 LWE524332:LWE524339 MGA524332:MGA524339 MPW524332:MPW524339 MZS524332:MZS524339 NJO524332:NJO524339 NTK524332:NTK524339 ODG524332:ODG524339 ONC524332:ONC524339 OWY524332:OWY524339 PGU524332:PGU524339 PQQ524332:PQQ524339 QAM524332:QAM524339 QKI524332:QKI524339 QUE524332:QUE524339 REA524332:REA524339 RNW524332:RNW524339 RXS524332:RXS524339 SHO524332:SHO524339 SRK524332:SRK524339 TBG524332:TBG524339 TLC524332:TLC524339 TUY524332:TUY524339 UEU524332:UEU524339 UOQ524332:UOQ524339 UYM524332:UYM524339 VII524332:VII524339 VSE524332:VSE524339 WCA524332:WCA524339 WLW524332:WLW524339 WVS524332:WVS524339 K589868:K589875 JG589868:JG589875 TC589868:TC589875 ACY589868:ACY589875 AMU589868:AMU589875 AWQ589868:AWQ589875 BGM589868:BGM589875 BQI589868:BQI589875 CAE589868:CAE589875 CKA589868:CKA589875 CTW589868:CTW589875 DDS589868:DDS589875 DNO589868:DNO589875 DXK589868:DXK589875 EHG589868:EHG589875 ERC589868:ERC589875 FAY589868:FAY589875 FKU589868:FKU589875 FUQ589868:FUQ589875 GEM589868:GEM589875 GOI589868:GOI589875 GYE589868:GYE589875 HIA589868:HIA589875 HRW589868:HRW589875 IBS589868:IBS589875 ILO589868:ILO589875 IVK589868:IVK589875 JFG589868:JFG589875 JPC589868:JPC589875 JYY589868:JYY589875 KIU589868:KIU589875 KSQ589868:KSQ589875 LCM589868:LCM589875 LMI589868:LMI589875 LWE589868:LWE589875 MGA589868:MGA589875 MPW589868:MPW589875 MZS589868:MZS589875 NJO589868:NJO589875 NTK589868:NTK589875 ODG589868:ODG589875 ONC589868:ONC589875 OWY589868:OWY589875 PGU589868:PGU589875 PQQ589868:PQQ589875 QAM589868:QAM589875 QKI589868:QKI589875 QUE589868:QUE589875 REA589868:REA589875 RNW589868:RNW589875 RXS589868:RXS589875 SHO589868:SHO589875 SRK589868:SRK589875 TBG589868:TBG589875 TLC589868:TLC589875 TUY589868:TUY589875 UEU589868:UEU589875 UOQ589868:UOQ589875 UYM589868:UYM589875 VII589868:VII589875 VSE589868:VSE589875 WCA589868:WCA589875 WLW589868:WLW589875 WVS589868:WVS589875 K655404:K655411 JG655404:JG655411 TC655404:TC655411 ACY655404:ACY655411 AMU655404:AMU655411 AWQ655404:AWQ655411 BGM655404:BGM655411 BQI655404:BQI655411 CAE655404:CAE655411 CKA655404:CKA655411 CTW655404:CTW655411 DDS655404:DDS655411 DNO655404:DNO655411 DXK655404:DXK655411 EHG655404:EHG655411 ERC655404:ERC655411 FAY655404:FAY655411 FKU655404:FKU655411 FUQ655404:FUQ655411 GEM655404:GEM655411 GOI655404:GOI655411 GYE655404:GYE655411 HIA655404:HIA655411 HRW655404:HRW655411 IBS655404:IBS655411 ILO655404:ILO655411 IVK655404:IVK655411 JFG655404:JFG655411 JPC655404:JPC655411 JYY655404:JYY655411 KIU655404:KIU655411 KSQ655404:KSQ655411 LCM655404:LCM655411 LMI655404:LMI655411 LWE655404:LWE655411 MGA655404:MGA655411 MPW655404:MPW655411 MZS655404:MZS655411 NJO655404:NJO655411 NTK655404:NTK655411 ODG655404:ODG655411 ONC655404:ONC655411 OWY655404:OWY655411 PGU655404:PGU655411 PQQ655404:PQQ655411 QAM655404:QAM655411 QKI655404:QKI655411 QUE655404:QUE655411 REA655404:REA655411 RNW655404:RNW655411 RXS655404:RXS655411 SHO655404:SHO655411 SRK655404:SRK655411 TBG655404:TBG655411 TLC655404:TLC655411 TUY655404:TUY655411 UEU655404:UEU655411 UOQ655404:UOQ655411 UYM655404:UYM655411 VII655404:VII655411 VSE655404:VSE655411 WCA655404:WCA655411 WLW655404:WLW655411 WVS655404:WVS655411 K720940:K720947 JG720940:JG720947 TC720940:TC720947 ACY720940:ACY720947 AMU720940:AMU720947 AWQ720940:AWQ720947 BGM720940:BGM720947 BQI720940:BQI720947 CAE720940:CAE720947 CKA720940:CKA720947 CTW720940:CTW720947 DDS720940:DDS720947 DNO720940:DNO720947 DXK720940:DXK720947 EHG720940:EHG720947 ERC720940:ERC720947 FAY720940:FAY720947 FKU720940:FKU720947 FUQ720940:FUQ720947 GEM720940:GEM720947 GOI720940:GOI720947 GYE720940:GYE720947 HIA720940:HIA720947 HRW720940:HRW720947 IBS720940:IBS720947 ILO720940:ILO720947 IVK720940:IVK720947 JFG720940:JFG720947 JPC720940:JPC720947 JYY720940:JYY720947 KIU720940:KIU720947 KSQ720940:KSQ720947 LCM720940:LCM720947 LMI720940:LMI720947 LWE720940:LWE720947 MGA720940:MGA720947 MPW720940:MPW720947 MZS720940:MZS720947 NJO720940:NJO720947 NTK720940:NTK720947 ODG720940:ODG720947 ONC720940:ONC720947 OWY720940:OWY720947 PGU720940:PGU720947 PQQ720940:PQQ720947 QAM720940:QAM720947 QKI720940:QKI720947 QUE720940:QUE720947 REA720940:REA720947 RNW720940:RNW720947 RXS720940:RXS720947 SHO720940:SHO720947 SRK720940:SRK720947 TBG720940:TBG720947 TLC720940:TLC720947 TUY720940:TUY720947 UEU720940:UEU720947 UOQ720940:UOQ720947 UYM720940:UYM720947 VII720940:VII720947 VSE720940:VSE720947 WCA720940:WCA720947 WLW720940:WLW720947 WVS720940:WVS720947 K786476:K786483 JG786476:JG786483 TC786476:TC786483 ACY786476:ACY786483 AMU786476:AMU786483 AWQ786476:AWQ786483 BGM786476:BGM786483 BQI786476:BQI786483 CAE786476:CAE786483 CKA786476:CKA786483 CTW786476:CTW786483 DDS786476:DDS786483 DNO786476:DNO786483 DXK786476:DXK786483 EHG786476:EHG786483 ERC786476:ERC786483 FAY786476:FAY786483 FKU786476:FKU786483 FUQ786476:FUQ786483 GEM786476:GEM786483 GOI786476:GOI786483 GYE786476:GYE786483 HIA786476:HIA786483 HRW786476:HRW786483 IBS786476:IBS786483 ILO786476:ILO786483 IVK786476:IVK786483 JFG786476:JFG786483 JPC786476:JPC786483 JYY786476:JYY786483 KIU786476:KIU786483 KSQ786476:KSQ786483 LCM786476:LCM786483 LMI786476:LMI786483 LWE786476:LWE786483 MGA786476:MGA786483 MPW786476:MPW786483 MZS786476:MZS786483 NJO786476:NJO786483 NTK786476:NTK786483 ODG786476:ODG786483 ONC786476:ONC786483 OWY786476:OWY786483 PGU786476:PGU786483 PQQ786476:PQQ786483 QAM786476:QAM786483 QKI786476:QKI786483 QUE786476:QUE786483 REA786476:REA786483 RNW786476:RNW786483 RXS786476:RXS786483 SHO786476:SHO786483 SRK786476:SRK786483 TBG786476:TBG786483 TLC786476:TLC786483 TUY786476:TUY786483 UEU786476:UEU786483 UOQ786476:UOQ786483 UYM786476:UYM786483 VII786476:VII786483 VSE786476:VSE786483 WCA786476:WCA786483 WLW786476:WLW786483 WVS786476:WVS786483 K852012:K852019 JG852012:JG852019 TC852012:TC852019 ACY852012:ACY852019 AMU852012:AMU852019 AWQ852012:AWQ852019 BGM852012:BGM852019 BQI852012:BQI852019 CAE852012:CAE852019 CKA852012:CKA852019 CTW852012:CTW852019 DDS852012:DDS852019 DNO852012:DNO852019 DXK852012:DXK852019 EHG852012:EHG852019 ERC852012:ERC852019 FAY852012:FAY852019 FKU852012:FKU852019 FUQ852012:FUQ852019 GEM852012:GEM852019 GOI852012:GOI852019 GYE852012:GYE852019 HIA852012:HIA852019 HRW852012:HRW852019 IBS852012:IBS852019 ILO852012:ILO852019 IVK852012:IVK852019 JFG852012:JFG852019 JPC852012:JPC852019 JYY852012:JYY852019 KIU852012:KIU852019 KSQ852012:KSQ852019 LCM852012:LCM852019 LMI852012:LMI852019 LWE852012:LWE852019 MGA852012:MGA852019 MPW852012:MPW852019 MZS852012:MZS852019 NJO852012:NJO852019 NTK852012:NTK852019 ODG852012:ODG852019 ONC852012:ONC852019 OWY852012:OWY852019 PGU852012:PGU852019 PQQ852012:PQQ852019 QAM852012:QAM852019 QKI852012:QKI852019 QUE852012:QUE852019 REA852012:REA852019 RNW852012:RNW852019 RXS852012:RXS852019 SHO852012:SHO852019 SRK852012:SRK852019 TBG852012:TBG852019 TLC852012:TLC852019 TUY852012:TUY852019 UEU852012:UEU852019 UOQ852012:UOQ852019 UYM852012:UYM852019 VII852012:VII852019 VSE852012:VSE852019 WCA852012:WCA852019 WLW852012:WLW852019 WVS852012:WVS852019 K917548:K917555 JG917548:JG917555 TC917548:TC917555 ACY917548:ACY917555 AMU917548:AMU917555 AWQ917548:AWQ917555 BGM917548:BGM917555 BQI917548:BQI917555 CAE917548:CAE917555 CKA917548:CKA917555 CTW917548:CTW917555 DDS917548:DDS917555 DNO917548:DNO917555 DXK917548:DXK917555 EHG917548:EHG917555 ERC917548:ERC917555 FAY917548:FAY917555 FKU917548:FKU917555 FUQ917548:FUQ917555 GEM917548:GEM917555 GOI917548:GOI917555 GYE917548:GYE917555 HIA917548:HIA917555 HRW917548:HRW917555 IBS917548:IBS917555 ILO917548:ILO917555 IVK917548:IVK917555 JFG917548:JFG917555 JPC917548:JPC917555 JYY917548:JYY917555 KIU917548:KIU917555 KSQ917548:KSQ917555 LCM917548:LCM917555 LMI917548:LMI917555 LWE917548:LWE917555 MGA917548:MGA917555 MPW917548:MPW917555 MZS917548:MZS917555 NJO917548:NJO917555 NTK917548:NTK917555 ODG917548:ODG917555 ONC917548:ONC917555 OWY917548:OWY917555 PGU917548:PGU917555 PQQ917548:PQQ917555 QAM917548:QAM917555 QKI917548:QKI917555 QUE917548:QUE917555 REA917548:REA917555 RNW917548:RNW917555 RXS917548:RXS917555 SHO917548:SHO917555 SRK917548:SRK917555 TBG917548:TBG917555 TLC917548:TLC917555 TUY917548:TUY917555 UEU917548:UEU917555 UOQ917548:UOQ917555 UYM917548:UYM917555 VII917548:VII917555 VSE917548:VSE917555 WCA917548:WCA917555 WLW917548:WLW917555 WVS917548:WVS917555 K983084:K983091 JG983084:JG983091 TC983084:TC983091 ACY983084:ACY983091 AMU983084:AMU983091 AWQ983084:AWQ983091 BGM983084:BGM983091 BQI983084:BQI983091 CAE983084:CAE983091 CKA983084:CKA983091 CTW983084:CTW983091 DDS983084:DDS983091 DNO983084:DNO983091 DXK983084:DXK983091 EHG983084:EHG983091 ERC983084:ERC983091 FAY983084:FAY983091 FKU983084:FKU983091 FUQ983084:FUQ983091 GEM983084:GEM983091 GOI983084:GOI983091 GYE983084:GYE983091 HIA983084:HIA983091 HRW983084:HRW983091 IBS983084:IBS983091 ILO983084:ILO983091 IVK983084:IVK983091 JFG983084:JFG983091 JPC983084:JPC983091 JYY983084:JYY983091 KIU983084:KIU983091 KSQ983084:KSQ983091 LCM983084:LCM983091 LMI983084:LMI983091 LWE983084:LWE983091 MGA983084:MGA983091 MPW983084:MPW983091 MZS983084:MZS983091 NJO983084:NJO983091 NTK983084:NTK983091 ODG983084:ODG983091 ONC983084:ONC983091 OWY983084:OWY983091 PGU983084:PGU983091 PQQ983084:PQQ983091 QAM983084:QAM983091 QKI983084:QKI983091 QUE983084:QUE983091 REA983084:REA983091 RNW983084:RNW983091 RXS983084:RXS983091 SHO983084:SHO983091 SRK983084:SRK983091 TBG983084:TBG983091 TLC983084:TLC983091 TUY983084:TUY983091 UEU983084:UEU983091 UOQ983084:UOQ983091 UYM983084:UYM983091 VII983084:VII983091 VSE983084:VSE983091 WCA983084:WCA983091 WLW983084:WLW983091 WVS983084:WVS983091 M64:M69 JI64:JI69 TE64:TE69 ADA64:ADA69 AMW64:AMW69 AWS64:AWS69 BGO64:BGO69 BQK64:BQK69 CAG64:CAG69 CKC64:CKC69 CTY64:CTY69 DDU64:DDU69 DNQ64:DNQ69 DXM64:DXM69 EHI64:EHI69 ERE64:ERE69 FBA64:FBA69 FKW64:FKW69 FUS64:FUS69 GEO64:GEO69 GOK64:GOK69 GYG64:GYG69 HIC64:HIC69 HRY64:HRY69 IBU64:IBU69 ILQ64:ILQ69 IVM64:IVM69 JFI64:JFI69 JPE64:JPE69 JZA64:JZA69 KIW64:KIW69 KSS64:KSS69 LCO64:LCO69 LMK64:LMK69 LWG64:LWG69 MGC64:MGC69 MPY64:MPY69 MZU64:MZU69 NJQ64:NJQ69 NTM64:NTM69 ODI64:ODI69 ONE64:ONE69 OXA64:OXA69 PGW64:PGW69 PQS64:PQS69 QAO64:QAO69 QKK64:QKK69 QUG64:QUG69 REC64:REC69 RNY64:RNY69 RXU64:RXU69 SHQ64:SHQ69 SRM64:SRM69 TBI64:TBI69 TLE64:TLE69 TVA64:TVA69 UEW64:UEW69 UOS64:UOS69 UYO64:UYO69 VIK64:VIK69 VSG64:VSG69 WCC64:WCC69 WLY64:WLY69 WVU64:WVU69 M65600:M65605 JI65600:JI65605 TE65600:TE65605 ADA65600:ADA65605 AMW65600:AMW65605 AWS65600:AWS65605 BGO65600:BGO65605 BQK65600:BQK65605 CAG65600:CAG65605 CKC65600:CKC65605 CTY65600:CTY65605 DDU65600:DDU65605 DNQ65600:DNQ65605 DXM65600:DXM65605 EHI65600:EHI65605 ERE65600:ERE65605 FBA65600:FBA65605 FKW65600:FKW65605 FUS65600:FUS65605 GEO65600:GEO65605 GOK65600:GOK65605 GYG65600:GYG65605 HIC65600:HIC65605 HRY65600:HRY65605 IBU65600:IBU65605 ILQ65600:ILQ65605 IVM65600:IVM65605 JFI65600:JFI65605 JPE65600:JPE65605 JZA65600:JZA65605 KIW65600:KIW65605 KSS65600:KSS65605 LCO65600:LCO65605 LMK65600:LMK65605 LWG65600:LWG65605 MGC65600:MGC65605 MPY65600:MPY65605 MZU65600:MZU65605 NJQ65600:NJQ65605 NTM65600:NTM65605 ODI65600:ODI65605 ONE65600:ONE65605 OXA65600:OXA65605 PGW65600:PGW65605 PQS65600:PQS65605 QAO65600:QAO65605 QKK65600:QKK65605 QUG65600:QUG65605 REC65600:REC65605 RNY65600:RNY65605 RXU65600:RXU65605 SHQ65600:SHQ65605 SRM65600:SRM65605 TBI65600:TBI65605 TLE65600:TLE65605 TVA65600:TVA65605 UEW65600:UEW65605 UOS65600:UOS65605 UYO65600:UYO65605 VIK65600:VIK65605 VSG65600:VSG65605 WCC65600:WCC65605 WLY65600:WLY65605 WVU65600:WVU65605 M131136:M131141 JI131136:JI131141 TE131136:TE131141 ADA131136:ADA131141 AMW131136:AMW131141 AWS131136:AWS131141 BGO131136:BGO131141 BQK131136:BQK131141 CAG131136:CAG131141 CKC131136:CKC131141 CTY131136:CTY131141 DDU131136:DDU131141 DNQ131136:DNQ131141 DXM131136:DXM131141 EHI131136:EHI131141 ERE131136:ERE131141 FBA131136:FBA131141 FKW131136:FKW131141 FUS131136:FUS131141 GEO131136:GEO131141 GOK131136:GOK131141 GYG131136:GYG131141 HIC131136:HIC131141 HRY131136:HRY131141 IBU131136:IBU131141 ILQ131136:ILQ131141 IVM131136:IVM131141 JFI131136:JFI131141 JPE131136:JPE131141 JZA131136:JZA131141 KIW131136:KIW131141 KSS131136:KSS131141 LCO131136:LCO131141 LMK131136:LMK131141 LWG131136:LWG131141 MGC131136:MGC131141 MPY131136:MPY131141 MZU131136:MZU131141 NJQ131136:NJQ131141 NTM131136:NTM131141 ODI131136:ODI131141 ONE131136:ONE131141 OXA131136:OXA131141 PGW131136:PGW131141 PQS131136:PQS131141 QAO131136:QAO131141 QKK131136:QKK131141 QUG131136:QUG131141 REC131136:REC131141 RNY131136:RNY131141 RXU131136:RXU131141 SHQ131136:SHQ131141 SRM131136:SRM131141 TBI131136:TBI131141 TLE131136:TLE131141 TVA131136:TVA131141 UEW131136:UEW131141 UOS131136:UOS131141 UYO131136:UYO131141 VIK131136:VIK131141 VSG131136:VSG131141 WCC131136:WCC131141 WLY131136:WLY131141 WVU131136:WVU131141 M196672:M196677 JI196672:JI196677 TE196672:TE196677 ADA196672:ADA196677 AMW196672:AMW196677 AWS196672:AWS196677 BGO196672:BGO196677 BQK196672:BQK196677 CAG196672:CAG196677 CKC196672:CKC196677 CTY196672:CTY196677 DDU196672:DDU196677 DNQ196672:DNQ196677 DXM196672:DXM196677 EHI196672:EHI196677 ERE196672:ERE196677 FBA196672:FBA196677 FKW196672:FKW196677 FUS196672:FUS196677 GEO196672:GEO196677 GOK196672:GOK196677 GYG196672:GYG196677 HIC196672:HIC196677 HRY196672:HRY196677 IBU196672:IBU196677 ILQ196672:ILQ196677 IVM196672:IVM196677 JFI196672:JFI196677 JPE196672:JPE196677 JZA196672:JZA196677 KIW196672:KIW196677 KSS196672:KSS196677 LCO196672:LCO196677 LMK196672:LMK196677 LWG196672:LWG196677 MGC196672:MGC196677 MPY196672:MPY196677 MZU196672:MZU196677 NJQ196672:NJQ196677 NTM196672:NTM196677 ODI196672:ODI196677 ONE196672:ONE196677 OXA196672:OXA196677 PGW196672:PGW196677 PQS196672:PQS196677 QAO196672:QAO196677 QKK196672:QKK196677 QUG196672:QUG196677 REC196672:REC196677 RNY196672:RNY196677 RXU196672:RXU196677 SHQ196672:SHQ196677 SRM196672:SRM196677 TBI196672:TBI196677 TLE196672:TLE196677 TVA196672:TVA196677 UEW196672:UEW196677 UOS196672:UOS196677 UYO196672:UYO196677 VIK196672:VIK196677 VSG196672:VSG196677 WCC196672:WCC196677 WLY196672:WLY196677 WVU196672:WVU196677 M262208:M262213 JI262208:JI262213 TE262208:TE262213 ADA262208:ADA262213 AMW262208:AMW262213 AWS262208:AWS262213 BGO262208:BGO262213 BQK262208:BQK262213 CAG262208:CAG262213 CKC262208:CKC262213 CTY262208:CTY262213 DDU262208:DDU262213 DNQ262208:DNQ262213 DXM262208:DXM262213 EHI262208:EHI262213 ERE262208:ERE262213 FBA262208:FBA262213 FKW262208:FKW262213 FUS262208:FUS262213 GEO262208:GEO262213 GOK262208:GOK262213 GYG262208:GYG262213 HIC262208:HIC262213 HRY262208:HRY262213 IBU262208:IBU262213 ILQ262208:ILQ262213 IVM262208:IVM262213 JFI262208:JFI262213 JPE262208:JPE262213 JZA262208:JZA262213 KIW262208:KIW262213 KSS262208:KSS262213 LCO262208:LCO262213 LMK262208:LMK262213 LWG262208:LWG262213 MGC262208:MGC262213 MPY262208:MPY262213 MZU262208:MZU262213 NJQ262208:NJQ262213 NTM262208:NTM262213 ODI262208:ODI262213 ONE262208:ONE262213 OXA262208:OXA262213 PGW262208:PGW262213 PQS262208:PQS262213 QAO262208:QAO262213 QKK262208:QKK262213 QUG262208:QUG262213 REC262208:REC262213 RNY262208:RNY262213 RXU262208:RXU262213 SHQ262208:SHQ262213 SRM262208:SRM262213 TBI262208:TBI262213 TLE262208:TLE262213 TVA262208:TVA262213 UEW262208:UEW262213 UOS262208:UOS262213 UYO262208:UYO262213 VIK262208:VIK262213 VSG262208:VSG262213 WCC262208:WCC262213 WLY262208:WLY262213 WVU262208:WVU262213 M327744:M327749 JI327744:JI327749 TE327744:TE327749 ADA327744:ADA327749 AMW327744:AMW327749 AWS327744:AWS327749 BGO327744:BGO327749 BQK327744:BQK327749 CAG327744:CAG327749 CKC327744:CKC327749 CTY327744:CTY327749 DDU327744:DDU327749 DNQ327744:DNQ327749 DXM327744:DXM327749 EHI327744:EHI327749 ERE327744:ERE327749 FBA327744:FBA327749 FKW327744:FKW327749 FUS327744:FUS327749 GEO327744:GEO327749 GOK327744:GOK327749 GYG327744:GYG327749 HIC327744:HIC327749 HRY327744:HRY327749 IBU327744:IBU327749 ILQ327744:ILQ327749 IVM327744:IVM327749 JFI327744:JFI327749 JPE327744:JPE327749 JZA327744:JZA327749 KIW327744:KIW327749 KSS327744:KSS327749 LCO327744:LCO327749 LMK327744:LMK327749 LWG327744:LWG327749 MGC327744:MGC327749 MPY327744:MPY327749 MZU327744:MZU327749 NJQ327744:NJQ327749 NTM327744:NTM327749 ODI327744:ODI327749 ONE327744:ONE327749 OXA327744:OXA327749 PGW327744:PGW327749 PQS327744:PQS327749 QAO327744:QAO327749 QKK327744:QKK327749 QUG327744:QUG327749 REC327744:REC327749 RNY327744:RNY327749 RXU327744:RXU327749 SHQ327744:SHQ327749 SRM327744:SRM327749 TBI327744:TBI327749 TLE327744:TLE327749 TVA327744:TVA327749 UEW327744:UEW327749 UOS327744:UOS327749 UYO327744:UYO327749 VIK327744:VIK327749 VSG327744:VSG327749 WCC327744:WCC327749 WLY327744:WLY327749 WVU327744:WVU327749 M393280:M393285 JI393280:JI393285 TE393280:TE393285 ADA393280:ADA393285 AMW393280:AMW393285 AWS393280:AWS393285 BGO393280:BGO393285 BQK393280:BQK393285 CAG393280:CAG393285 CKC393280:CKC393285 CTY393280:CTY393285 DDU393280:DDU393285 DNQ393280:DNQ393285 DXM393280:DXM393285 EHI393280:EHI393285 ERE393280:ERE393285 FBA393280:FBA393285 FKW393280:FKW393285 FUS393280:FUS393285 GEO393280:GEO393285 GOK393280:GOK393285 GYG393280:GYG393285 HIC393280:HIC393285 HRY393280:HRY393285 IBU393280:IBU393285 ILQ393280:ILQ393285 IVM393280:IVM393285 JFI393280:JFI393285 JPE393280:JPE393285 JZA393280:JZA393285 KIW393280:KIW393285 KSS393280:KSS393285 LCO393280:LCO393285 LMK393280:LMK393285 LWG393280:LWG393285 MGC393280:MGC393285 MPY393280:MPY393285 MZU393280:MZU393285 NJQ393280:NJQ393285 NTM393280:NTM393285 ODI393280:ODI393285 ONE393280:ONE393285 OXA393280:OXA393285 PGW393280:PGW393285 PQS393280:PQS393285 QAO393280:QAO393285 QKK393280:QKK393285 QUG393280:QUG393285 REC393280:REC393285 RNY393280:RNY393285 RXU393280:RXU393285 SHQ393280:SHQ393285 SRM393280:SRM393285 TBI393280:TBI393285 TLE393280:TLE393285 TVA393280:TVA393285 UEW393280:UEW393285 UOS393280:UOS393285 UYO393280:UYO393285 VIK393280:VIK393285 VSG393280:VSG393285 WCC393280:WCC393285 WLY393280:WLY393285 WVU393280:WVU393285 M458816:M458821 JI458816:JI458821 TE458816:TE458821 ADA458816:ADA458821 AMW458816:AMW458821 AWS458816:AWS458821 BGO458816:BGO458821 BQK458816:BQK458821 CAG458816:CAG458821 CKC458816:CKC458821 CTY458816:CTY458821 DDU458816:DDU458821 DNQ458816:DNQ458821 DXM458816:DXM458821 EHI458816:EHI458821 ERE458816:ERE458821 FBA458816:FBA458821 FKW458816:FKW458821 FUS458816:FUS458821 GEO458816:GEO458821 GOK458816:GOK458821 GYG458816:GYG458821 HIC458816:HIC458821 HRY458816:HRY458821 IBU458816:IBU458821 ILQ458816:ILQ458821 IVM458816:IVM458821 JFI458816:JFI458821 JPE458816:JPE458821 JZA458816:JZA458821 KIW458816:KIW458821 KSS458816:KSS458821 LCO458816:LCO458821 LMK458816:LMK458821 LWG458816:LWG458821 MGC458816:MGC458821 MPY458816:MPY458821 MZU458816:MZU458821 NJQ458816:NJQ458821 NTM458816:NTM458821 ODI458816:ODI458821 ONE458816:ONE458821 OXA458816:OXA458821 PGW458816:PGW458821 PQS458816:PQS458821 QAO458816:QAO458821 QKK458816:QKK458821 QUG458816:QUG458821 REC458816:REC458821 RNY458816:RNY458821 RXU458816:RXU458821 SHQ458816:SHQ458821 SRM458816:SRM458821 TBI458816:TBI458821 TLE458816:TLE458821 TVA458816:TVA458821 UEW458816:UEW458821 UOS458816:UOS458821 UYO458816:UYO458821 VIK458816:VIK458821 VSG458816:VSG458821 WCC458816:WCC458821 WLY458816:WLY458821 WVU458816:WVU458821 M524352:M524357 JI524352:JI524357 TE524352:TE524357 ADA524352:ADA524357 AMW524352:AMW524357 AWS524352:AWS524357 BGO524352:BGO524357 BQK524352:BQK524357 CAG524352:CAG524357 CKC524352:CKC524357 CTY524352:CTY524357 DDU524352:DDU524357 DNQ524352:DNQ524357 DXM524352:DXM524357 EHI524352:EHI524357 ERE524352:ERE524357 FBA524352:FBA524357 FKW524352:FKW524357 FUS524352:FUS524357 GEO524352:GEO524357 GOK524352:GOK524357 GYG524352:GYG524357 HIC524352:HIC524357 HRY524352:HRY524357 IBU524352:IBU524357 ILQ524352:ILQ524357 IVM524352:IVM524357 JFI524352:JFI524357 JPE524352:JPE524357 JZA524352:JZA524357 KIW524352:KIW524357 KSS524352:KSS524357 LCO524352:LCO524357 LMK524352:LMK524357 LWG524352:LWG524357 MGC524352:MGC524357 MPY524352:MPY524357 MZU524352:MZU524357 NJQ524352:NJQ524357 NTM524352:NTM524357 ODI524352:ODI524357 ONE524352:ONE524357 OXA524352:OXA524357 PGW524352:PGW524357 PQS524352:PQS524357 QAO524352:QAO524357 QKK524352:QKK524357 QUG524352:QUG524357 REC524352:REC524357 RNY524352:RNY524357 RXU524352:RXU524357 SHQ524352:SHQ524357 SRM524352:SRM524357 TBI524352:TBI524357 TLE524352:TLE524357 TVA524352:TVA524357 UEW524352:UEW524357 UOS524352:UOS524357 UYO524352:UYO524357 VIK524352:VIK524357 VSG524352:VSG524357 WCC524352:WCC524357 WLY524352:WLY524357 WVU524352:WVU524357 M589888:M589893 JI589888:JI589893 TE589888:TE589893 ADA589888:ADA589893 AMW589888:AMW589893 AWS589888:AWS589893 BGO589888:BGO589893 BQK589888:BQK589893 CAG589888:CAG589893 CKC589888:CKC589893 CTY589888:CTY589893 DDU589888:DDU589893 DNQ589888:DNQ589893 DXM589888:DXM589893 EHI589888:EHI589893 ERE589888:ERE589893 FBA589888:FBA589893 FKW589888:FKW589893 FUS589888:FUS589893 GEO589888:GEO589893 GOK589888:GOK589893 GYG589888:GYG589893 HIC589888:HIC589893 HRY589888:HRY589893 IBU589888:IBU589893 ILQ589888:ILQ589893 IVM589888:IVM589893 JFI589888:JFI589893 JPE589888:JPE589893 JZA589888:JZA589893 KIW589888:KIW589893 KSS589888:KSS589893 LCO589888:LCO589893 LMK589888:LMK589893 LWG589888:LWG589893 MGC589888:MGC589893 MPY589888:MPY589893 MZU589888:MZU589893 NJQ589888:NJQ589893 NTM589888:NTM589893 ODI589888:ODI589893 ONE589888:ONE589893 OXA589888:OXA589893 PGW589888:PGW589893 PQS589888:PQS589893 QAO589888:QAO589893 QKK589888:QKK589893 QUG589888:QUG589893 REC589888:REC589893 RNY589888:RNY589893 RXU589888:RXU589893 SHQ589888:SHQ589893 SRM589888:SRM589893 TBI589888:TBI589893 TLE589888:TLE589893 TVA589888:TVA589893 UEW589888:UEW589893 UOS589888:UOS589893 UYO589888:UYO589893 VIK589888:VIK589893 VSG589888:VSG589893 WCC589888:WCC589893 WLY589888:WLY589893 WVU589888:WVU589893 M655424:M655429 JI655424:JI655429 TE655424:TE655429 ADA655424:ADA655429 AMW655424:AMW655429 AWS655424:AWS655429 BGO655424:BGO655429 BQK655424:BQK655429 CAG655424:CAG655429 CKC655424:CKC655429 CTY655424:CTY655429 DDU655424:DDU655429 DNQ655424:DNQ655429 DXM655424:DXM655429 EHI655424:EHI655429 ERE655424:ERE655429 FBA655424:FBA655429 FKW655424:FKW655429 FUS655424:FUS655429 GEO655424:GEO655429 GOK655424:GOK655429 GYG655424:GYG655429 HIC655424:HIC655429 HRY655424:HRY655429 IBU655424:IBU655429 ILQ655424:ILQ655429 IVM655424:IVM655429 JFI655424:JFI655429 JPE655424:JPE655429 JZA655424:JZA655429 KIW655424:KIW655429 KSS655424:KSS655429 LCO655424:LCO655429 LMK655424:LMK655429 LWG655424:LWG655429 MGC655424:MGC655429 MPY655424:MPY655429 MZU655424:MZU655429 NJQ655424:NJQ655429 NTM655424:NTM655429 ODI655424:ODI655429 ONE655424:ONE655429 OXA655424:OXA655429 PGW655424:PGW655429 PQS655424:PQS655429 QAO655424:QAO655429 QKK655424:QKK655429 QUG655424:QUG655429 REC655424:REC655429 RNY655424:RNY655429 RXU655424:RXU655429 SHQ655424:SHQ655429 SRM655424:SRM655429 TBI655424:TBI655429 TLE655424:TLE655429 TVA655424:TVA655429 UEW655424:UEW655429 UOS655424:UOS655429 UYO655424:UYO655429 VIK655424:VIK655429 VSG655424:VSG655429 WCC655424:WCC655429 WLY655424:WLY655429 WVU655424:WVU655429 M720960:M720965 JI720960:JI720965 TE720960:TE720965 ADA720960:ADA720965 AMW720960:AMW720965 AWS720960:AWS720965 BGO720960:BGO720965 BQK720960:BQK720965 CAG720960:CAG720965 CKC720960:CKC720965 CTY720960:CTY720965 DDU720960:DDU720965 DNQ720960:DNQ720965 DXM720960:DXM720965 EHI720960:EHI720965 ERE720960:ERE720965 FBA720960:FBA720965 FKW720960:FKW720965 FUS720960:FUS720965 GEO720960:GEO720965 GOK720960:GOK720965 GYG720960:GYG720965 HIC720960:HIC720965 HRY720960:HRY720965 IBU720960:IBU720965 ILQ720960:ILQ720965 IVM720960:IVM720965 JFI720960:JFI720965 JPE720960:JPE720965 JZA720960:JZA720965 KIW720960:KIW720965 KSS720960:KSS720965 LCO720960:LCO720965 LMK720960:LMK720965 LWG720960:LWG720965 MGC720960:MGC720965 MPY720960:MPY720965 MZU720960:MZU720965 NJQ720960:NJQ720965 NTM720960:NTM720965 ODI720960:ODI720965 ONE720960:ONE720965 OXA720960:OXA720965 PGW720960:PGW720965 PQS720960:PQS720965 QAO720960:QAO720965 QKK720960:QKK720965 QUG720960:QUG720965 REC720960:REC720965 RNY720960:RNY720965 RXU720960:RXU720965 SHQ720960:SHQ720965 SRM720960:SRM720965 TBI720960:TBI720965 TLE720960:TLE720965 TVA720960:TVA720965 UEW720960:UEW720965 UOS720960:UOS720965 UYO720960:UYO720965 VIK720960:VIK720965 VSG720960:VSG720965 WCC720960:WCC720965 WLY720960:WLY720965 WVU720960:WVU720965 M786496:M786501 JI786496:JI786501 TE786496:TE786501 ADA786496:ADA786501 AMW786496:AMW786501 AWS786496:AWS786501 BGO786496:BGO786501 BQK786496:BQK786501 CAG786496:CAG786501 CKC786496:CKC786501 CTY786496:CTY786501 DDU786496:DDU786501 DNQ786496:DNQ786501 DXM786496:DXM786501 EHI786496:EHI786501 ERE786496:ERE786501 FBA786496:FBA786501 FKW786496:FKW786501 FUS786496:FUS786501 GEO786496:GEO786501 GOK786496:GOK786501 GYG786496:GYG786501 HIC786496:HIC786501 HRY786496:HRY786501 IBU786496:IBU786501 ILQ786496:ILQ786501 IVM786496:IVM786501 JFI786496:JFI786501 JPE786496:JPE786501 JZA786496:JZA786501 KIW786496:KIW786501 KSS786496:KSS786501 LCO786496:LCO786501 LMK786496:LMK786501 LWG786496:LWG786501 MGC786496:MGC786501 MPY786496:MPY786501 MZU786496:MZU786501 NJQ786496:NJQ786501 NTM786496:NTM786501 ODI786496:ODI786501 ONE786496:ONE786501 OXA786496:OXA786501 PGW786496:PGW786501 PQS786496:PQS786501 QAO786496:QAO786501 QKK786496:QKK786501 QUG786496:QUG786501 REC786496:REC786501 RNY786496:RNY786501 RXU786496:RXU786501 SHQ786496:SHQ786501 SRM786496:SRM786501 TBI786496:TBI786501 TLE786496:TLE786501 TVA786496:TVA786501 UEW786496:UEW786501 UOS786496:UOS786501 UYO786496:UYO786501 VIK786496:VIK786501 VSG786496:VSG786501 WCC786496:WCC786501 WLY786496:WLY786501 WVU786496:WVU786501 M852032:M852037 JI852032:JI852037 TE852032:TE852037 ADA852032:ADA852037 AMW852032:AMW852037 AWS852032:AWS852037 BGO852032:BGO852037 BQK852032:BQK852037 CAG852032:CAG852037 CKC852032:CKC852037 CTY852032:CTY852037 DDU852032:DDU852037 DNQ852032:DNQ852037 DXM852032:DXM852037 EHI852032:EHI852037 ERE852032:ERE852037 FBA852032:FBA852037 FKW852032:FKW852037 FUS852032:FUS852037 GEO852032:GEO852037 GOK852032:GOK852037 GYG852032:GYG852037 HIC852032:HIC852037 HRY852032:HRY852037 IBU852032:IBU852037 ILQ852032:ILQ852037 IVM852032:IVM852037 JFI852032:JFI852037 JPE852032:JPE852037 JZA852032:JZA852037 KIW852032:KIW852037 KSS852032:KSS852037 LCO852032:LCO852037 LMK852032:LMK852037 LWG852032:LWG852037 MGC852032:MGC852037 MPY852032:MPY852037 MZU852032:MZU852037 NJQ852032:NJQ852037 NTM852032:NTM852037 ODI852032:ODI852037 ONE852032:ONE852037 OXA852032:OXA852037 PGW852032:PGW852037 PQS852032:PQS852037 QAO852032:QAO852037 QKK852032:QKK852037 QUG852032:QUG852037 REC852032:REC852037 RNY852032:RNY852037 RXU852032:RXU852037 SHQ852032:SHQ852037 SRM852032:SRM852037 TBI852032:TBI852037 TLE852032:TLE852037 TVA852032:TVA852037 UEW852032:UEW852037 UOS852032:UOS852037 UYO852032:UYO852037 VIK852032:VIK852037 VSG852032:VSG852037 WCC852032:WCC852037 WLY852032:WLY852037 WVU852032:WVU852037 M917568:M917573 JI917568:JI917573 TE917568:TE917573 ADA917568:ADA917573 AMW917568:AMW917573 AWS917568:AWS917573 BGO917568:BGO917573 BQK917568:BQK917573 CAG917568:CAG917573 CKC917568:CKC917573 CTY917568:CTY917573 DDU917568:DDU917573 DNQ917568:DNQ917573 DXM917568:DXM917573 EHI917568:EHI917573 ERE917568:ERE917573 FBA917568:FBA917573 FKW917568:FKW917573 FUS917568:FUS917573 GEO917568:GEO917573 GOK917568:GOK917573 GYG917568:GYG917573 HIC917568:HIC917573 HRY917568:HRY917573 IBU917568:IBU917573 ILQ917568:ILQ917573 IVM917568:IVM917573 JFI917568:JFI917573 JPE917568:JPE917573 JZA917568:JZA917573 KIW917568:KIW917573 KSS917568:KSS917573 LCO917568:LCO917573 LMK917568:LMK917573 LWG917568:LWG917573 MGC917568:MGC917573 MPY917568:MPY917573 MZU917568:MZU917573 NJQ917568:NJQ917573 NTM917568:NTM917573 ODI917568:ODI917573 ONE917568:ONE917573 OXA917568:OXA917573 PGW917568:PGW917573 PQS917568:PQS917573 QAO917568:QAO917573 QKK917568:QKK917573 QUG917568:QUG917573 REC917568:REC917573 RNY917568:RNY917573 RXU917568:RXU917573 SHQ917568:SHQ917573 SRM917568:SRM917573 TBI917568:TBI917573 TLE917568:TLE917573 TVA917568:TVA917573 UEW917568:UEW917573 UOS917568:UOS917573 UYO917568:UYO917573 VIK917568:VIK917573 VSG917568:VSG917573 WCC917568:WCC917573 WLY917568:WLY917573 WVU917568:WVU917573 M983104:M983109 JI983104:JI983109 TE983104:TE983109 ADA983104:ADA983109 AMW983104:AMW983109 AWS983104:AWS983109 BGO983104:BGO983109 BQK983104:BQK983109 CAG983104:CAG983109 CKC983104:CKC983109 CTY983104:CTY983109 DDU983104:DDU983109 DNQ983104:DNQ983109 DXM983104:DXM983109 EHI983104:EHI983109 ERE983104:ERE983109 FBA983104:FBA983109 FKW983104:FKW983109 FUS983104:FUS983109 GEO983104:GEO983109 GOK983104:GOK983109 GYG983104:GYG983109 HIC983104:HIC983109 HRY983104:HRY983109 IBU983104:IBU983109 ILQ983104:ILQ983109 IVM983104:IVM983109 JFI983104:JFI983109 JPE983104:JPE983109 JZA983104:JZA983109 KIW983104:KIW983109 KSS983104:KSS983109 LCO983104:LCO983109 LMK983104:LMK983109 LWG983104:LWG983109 MGC983104:MGC983109 MPY983104:MPY983109 MZU983104:MZU983109 NJQ983104:NJQ983109 NTM983104:NTM983109 ODI983104:ODI983109 ONE983104:ONE983109 OXA983104:OXA983109 PGW983104:PGW983109 PQS983104:PQS983109 QAO983104:QAO983109 QKK983104:QKK983109 QUG983104:QUG983109 REC983104:REC983109 RNY983104:RNY983109 RXU983104:RXU983109 SHQ983104:SHQ983109 SRM983104:SRM983109 TBI983104:TBI983109 TLE983104:TLE983109 TVA983104:TVA983109 UEW983104:UEW983109 UOS983104:UOS983109 UYO983104:UYO983109 VIK983104:VIK983109 VSG983104:VSG983109 WCC983104:WCC983109 WLY983104:WLY983109 WVU983104:WVU983109">
      <formula1>"无产权,有产权资产,有产权-不接收,有产权-接收"</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3" sqref="K3"/>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104" t="s">
        <v>202</v>
      </c>
      <c r="B1" s="1881"/>
      <c r="C1" s="1881"/>
      <c r="D1" s="1881"/>
      <c r="E1" s="1881"/>
      <c r="F1" s="1881"/>
      <c r="G1" s="1881"/>
      <c r="H1" s="1881"/>
      <c r="I1" s="1881"/>
      <c r="J1" s="1881"/>
      <c r="K1" s="1881"/>
      <c r="L1" s="1881"/>
    </row>
    <row r="2" spans="1:16" ht="15">
      <c r="A2" s="3449" t="s">
        <v>203</v>
      </c>
      <c r="B2" s="3449"/>
      <c r="C2" s="3449"/>
      <c r="D2" s="1872" t="s">
        <v>204</v>
      </c>
      <c r="E2" s="106" t="s">
        <v>205</v>
      </c>
      <c r="F2" s="1881"/>
      <c r="G2" s="1198"/>
      <c r="H2" s="1199"/>
      <c r="I2" s="1200" t="s">
        <v>855</v>
      </c>
      <c r="J2" s="1881"/>
      <c r="K2" s="1881"/>
      <c r="L2" s="1881"/>
    </row>
    <row r="3" spans="1:16" ht="15.75" thickBot="1">
      <c r="A3" s="3450" t="s">
        <v>206</v>
      </c>
      <c r="B3" s="3450"/>
      <c r="C3" s="3450"/>
      <c r="D3" s="107">
        <f>'数据-基础表'!AY6</f>
        <v>110209</v>
      </c>
      <c r="E3" s="107">
        <f>'数据-基础表'!AZ5</f>
        <v>154292.6</v>
      </c>
      <c r="F3" s="1881"/>
      <c r="G3" s="280" t="s">
        <v>856</v>
      </c>
      <c r="H3" s="275" t="s">
        <v>857</v>
      </c>
      <c r="I3" s="1873">
        <f>ROUND('数据-基础表'!B3/'数据-基础表'!A3,2)</f>
        <v>1.4</v>
      </c>
      <c r="J3" s="1881"/>
      <c r="K3" s="1881"/>
      <c r="L3" s="1881"/>
    </row>
    <row r="4" spans="1:16" ht="15">
      <c r="A4" s="3451"/>
      <c r="B4" s="3452"/>
      <c r="C4" s="3453"/>
      <c r="D4" s="108" t="s">
        <v>204</v>
      </c>
      <c r="E4" s="109" t="s">
        <v>205</v>
      </c>
      <c r="F4" s="1881"/>
      <c r="G4" s="1201"/>
      <c r="H4" s="275" t="s">
        <v>858</v>
      </c>
      <c r="I4" s="1873">
        <f>ROUND(SUMIF('数据-基础表'!I9:AS9,"地上",'数据-基础表'!I5:AS5)/'数据-基础表'!A3,2)</f>
        <v>1.4</v>
      </c>
      <c r="J4" s="1881"/>
      <c r="K4" s="1881"/>
      <c r="L4" s="1881"/>
    </row>
    <row r="5" spans="1:16">
      <c r="A5" s="110" t="s">
        <v>207</v>
      </c>
      <c r="B5" s="3454" t="s">
        <v>230</v>
      </c>
      <c r="C5" s="3454"/>
      <c r="D5" s="111">
        <f>ROUND($D$3*E5/$E$3,2)</f>
        <v>110209</v>
      </c>
      <c r="E5" s="112">
        <f>SUMIF('数据-基础表'!$11:$11,"住宅",'数据-基础表'!$5:$5)</f>
        <v>154292.6</v>
      </c>
      <c r="F5" s="1881"/>
      <c r="G5" s="280" t="s">
        <v>859</v>
      </c>
      <c r="H5" s="275" t="s">
        <v>857</v>
      </c>
      <c r="I5" s="1873">
        <f>ROUND(E31/D31,2)</f>
        <v>1.4</v>
      </c>
      <c r="J5" s="1881"/>
      <c r="K5" s="1881"/>
      <c r="L5" s="1881"/>
    </row>
    <row r="6" spans="1:16" ht="15" thickBot="1">
      <c r="A6" s="113"/>
      <c r="B6" s="3454" t="s">
        <v>208</v>
      </c>
      <c r="C6" s="3454"/>
      <c r="D6" s="111">
        <f>ROUND($D$3*E6/$E$3,2)</f>
        <v>0</v>
      </c>
      <c r="E6" s="112">
        <f>E3-E5</f>
        <v>0</v>
      </c>
      <c r="F6" s="1881"/>
      <c r="G6" s="1201"/>
      <c r="H6" s="275" t="s">
        <v>858</v>
      </c>
      <c r="I6" s="1873">
        <f>ROUND(F31/D31,2)</f>
        <v>1.4</v>
      </c>
      <c r="J6" s="1881"/>
      <c r="K6" s="1881"/>
      <c r="L6" s="1881"/>
    </row>
    <row r="7" spans="1:16" ht="15">
      <c r="A7" s="3446"/>
      <c r="B7" s="3447"/>
      <c r="C7" s="3448"/>
      <c r="D7" s="108" t="s">
        <v>204</v>
      </c>
      <c r="E7" s="114" t="s">
        <v>231</v>
      </c>
      <c r="F7" s="1881"/>
      <c r="G7" s="1156" t="s">
        <v>1644</v>
      </c>
      <c r="H7" s="1157"/>
      <c r="I7" s="1743"/>
      <c r="J7" s="1881"/>
      <c r="K7" s="1881"/>
      <c r="L7" s="1881"/>
    </row>
    <row r="8" spans="1:16" ht="15" thickBot="1">
      <c r="A8" s="110" t="s">
        <v>209</v>
      </c>
      <c r="B8" s="115" t="s">
        <v>210</v>
      </c>
      <c r="C8" s="111" t="s">
        <v>211</v>
      </c>
      <c r="D8" s="111">
        <f t="shared" ref="D8:D15" si="0">ROUND($D$3*E8/$E$3,2)</f>
        <v>110209</v>
      </c>
      <c r="E8" s="116">
        <f>SUMIF('数据-基础表'!BB10:BK10,"地上",'数据-基础表'!BB5:BK5)</f>
        <v>154292.6</v>
      </c>
      <c r="F8" s="1881"/>
      <c r="G8" s="1883"/>
      <c r="H8" s="1883"/>
      <c r="I8" s="1881"/>
      <c r="J8" s="1881"/>
      <c r="K8" s="1881"/>
      <c r="L8" s="1881"/>
    </row>
    <row r="9" spans="1:16" hidden="1">
      <c r="A9" s="117"/>
      <c r="B9" s="118"/>
      <c r="C9" s="111" t="s">
        <v>212</v>
      </c>
      <c r="D9" s="111">
        <f t="shared" si="0"/>
        <v>0</v>
      </c>
      <c r="E9" s="119">
        <v>0</v>
      </c>
      <c r="F9" s="1881"/>
      <c r="G9" s="1883"/>
      <c r="H9" s="1883"/>
      <c r="I9" s="1881"/>
      <c r="J9" s="1881"/>
      <c r="K9" s="1881"/>
      <c r="L9" s="1881"/>
    </row>
    <row r="10" spans="1:16" hidden="1">
      <c r="A10" s="117"/>
      <c r="B10" s="118"/>
      <c r="C10" s="111" t="s">
        <v>213</v>
      </c>
      <c r="D10" s="111">
        <f t="shared" si="0"/>
        <v>0</v>
      </c>
      <c r="E10" s="116">
        <f>SUMPRODUCT(('数据-基础表'!BB10:BK10="地下")*('数据-基础表'!BB11:BK11="商业")*('数据-基础表'!BB5:BK5))</f>
        <v>0</v>
      </c>
      <c r="F10" s="1881"/>
      <c r="G10" s="1883"/>
      <c r="H10" s="1883"/>
      <c r="I10" s="1881"/>
      <c r="J10" s="1881"/>
      <c r="K10" s="1881"/>
      <c r="L10" s="1881"/>
    </row>
    <row r="11" spans="1:16" hidden="1">
      <c r="A11" s="117"/>
      <c r="B11" s="118"/>
      <c r="C11" s="2228" t="s">
        <v>2323</v>
      </c>
      <c r="D11" s="111">
        <f t="shared" si="0"/>
        <v>0</v>
      </c>
      <c r="E11" s="116">
        <f>SUMPRODUCT(('数据-基础表'!BB10:BK10="地下")*('数据-基础表'!BB11:BK11="办公")*('数据-基础表'!BB5:BK5))+'数据-基础表'!AJ5</f>
        <v>0</v>
      </c>
      <c r="F11" s="1881"/>
      <c r="G11" s="1883"/>
      <c r="H11" s="1883"/>
      <c r="I11" s="1881"/>
      <c r="J11" s="1881"/>
      <c r="K11" s="1881"/>
      <c r="L11" s="1881"/>
    </row>
    <row r="12" spans="1:16" hidden="1">
      <c r="A12" s="117"/>
      <c r="B12" s="118"/>
      <c r="C12" s="111" t="s">
        <v>214</v>
      </c>
      <c r="D12" s="111">
        <f t="shared" si="0"/>
        <v>0</v>
      </c>
      <c r="E12" s="116">
        <f>SUMPRODUCT(('数据-基础表'!BB10:BK10="地下")*('数据-基础表'!BB11:BK11="仓储")*('数据-基础表'!BB5:BK5))</f>
        <v>0</v>
      </c>
      <c r="F12" s="1881"/>
      <c r="G12" s="1883"/>
      <c r="H12" s="1883"/>
      <c r="I12" s="1881"/>
      <c r="J12" s="1881"/>
      <c r="K12" s="1881"/>
      <c r="L12" s="1881"/>
    </row>
    <row r="13" spans="1:16" hidden="1">
      <c r="A13" s="117"/>
      <c r="B13" s="118"/>
      <c r="C13" s="2228" t="s">
        <v>2330</v>
      </c>
      <c r="D13" s="111">
        <f t="shared" si="0"/>
        <v>0</v>
      </c>
      <c r="E13" s="116">
        <f>SUMPRODUCT(('数据-基础表'!BB10:BK10="地下")*('数据-基础表'!BB11:BK11="车库")*('数据-基础表'!BB5:BK5))</f>
        <v>0</v>
      </c>
      <c r="F13" s="1881"/>
      <c r="G13" s="1883"/>
      <c r="H13" s="1883"/>
      <c r="I13" s="1881"/>
      <c r="J13" s="1881"/>
      <c r="K13" s="1881"/>
      <c r="L13" s="1881"/>
    </row>
    <row r="14" spans="1:16" hidden="1">
      <c r="A14" s="117"/>
      <c r="B14" s="118"/>
      <c r="C14" s="111" t="s">
        <v>232</v>
      </c>
      <c r="D14" s="111">
        <f t="shared" si="0"/>
        <v>0</v>
      </c>
      <c r="E14" s="116">
        <f>SUMPRODUCT(('数据-基础表'!BB10:BK10="地下")*('数据-基础表'!BB11:BK11="车库—商业")*('数据-基础表'!BB5:BK5))</f>
        <v>0</v>
      </c>
      <c r="F14" s="1881"/>
      <c r="G14" s="1883"/>
      <c r="H14" s="1883"/>
      <c r="I14" s="1881"/>
      <c r="J14" s="1881"/>
      <c r="K14" s="1881"/>
      <c r="L14" s="1881"/>
    </row>
    <row r="15" spans="1:16" ht="15" hidden="1" thickBot="1">
      <c r="A15" s="117"/>
      <c r="B15" s="118"/>
      <c r="C15" s="111" t="s">
        <v>233</v>
      </c>
      <c r="D15" s="111">
        <f t="shared" si="0"/>
        <v>0</v>
      </c>
      <c r="E15" s="116">
        <f>SUMPRODUCT(('数据-基础表'!BB10:BK10="地下")*('数据-基础表'!BB11:BK11="车库—办公")*('数据-基础表'!BB5:BK5))</f>
        <v>0</v>
      </c>
      <c r="F15" s="1881"/>
      <c r="G15" s="1883"/>
      <c r="H15" s="1883"/>
      <c r="I15" s="1881"/>
      <c r="J15" s="1881"/>
      <c r="K15" s="1881"/>
      <c r="L15" s="1881"/>
    </row>
    <row r="16" spans="1:16" ht="15.75" thickBot="1">
      <c r="A16" s="113"/>
      <c r="B16" s="118"/>
      <c r="C16" s="115" t="s">
        <v>215</v>
      </c>
      <c r="D16" s="115">
        <f>SUM(D8:D15)</f>
        <v>110209</v>
      </c>
      <c r="E16" s="120">
        <f>SUM(E8:E15)</f>
        <v>154292.6</v>
      </c>
      <c r="F16" s="1881"/>
      <c r="G16" s="1883"/>
      <c r="H16" s="968" t="s">
        <v>219</v>
      </c>
      <c r="I16" s="969"/>
      <c r="J16" s="1881"/>
      <c r="K16" s="3440" t="s">
        <v>2563</v>
      </c>
      <c r="L16" s="3441"/>
      <c r="M16" s="3441"/>
      <c r="N16" s="3441"/>
      <c r="O16" s="3441"/>
      <c r="P16" s="3442"/>
    </row>
    <row r="17" spans="1:19" ht="15">
      <c r="A17" s="121" t="s">
        <v>216</v>
      </c>
      <c r="B17" s="122" t="s">
        <v>217</v>
      </c>
      <c r="C17" s="2195" t="s">
        <v>2311</v>
      </c>
      <c r="D17" s="108" t="s">
        <v>204</v>
      </c>
      <c r="E17" s="124" t="s">
        <v>205</v>
      </c>
      <c r="F17" s="125"/>
      <c r="G17" s="1366"/>
      <c r="H17" s="970" t="s">
        <v>218</v>
      </c>
      <c r="I17" s="971" t="s">
        <v>2310</v>
      </c>
      <c r="J17" s="1881"/>
      <c r="K17" s="3443" t="s">
        <v>2564</v>
      </c>
      <c r="L17" s="3444"/>
      <c r="M17" s="3445"/>
      <c r="N17" s="3443" t="s">
        <v>2565</v>
      </c>
      <c r="O17" s="3444"/>
      <c r="P17" s="3445"/>
      <c r="R17" s="2196" t="s">
        <v>2309</v>
      </c>
      <c r="S17" s="144"/>
    </row>
    <row r="18" spans="1:19" ht="15">
      <c r="A18" s="117"/>
      <c r="B18" s="128"/>
      <c r="C18" s="129"/>
      <c r="D18" s="2560"/>
      <c r="E18" s="130" t="s">
        <v>220</v>
      </c>
      <c r="F18" s="131" t="s">
        <v>221</v>
      </c>
      <c r="G18" s="1367" t="s">
        <v>222</v>
      </c>
      <c r="H18" s="972" t="s">
        <v>223</v>
      </c>
      <c r="I18" s="973" t="s">
        <v>224</v>
      </c>
      <c r="J18" s="1881"/>
      <c r="K18" s="2523" t="s">
        <v>2566</v>
      </c>
      <c r="L18" s="2524" t="s">
        <v>2567</v>
      </c>
      <c r="M18" s="2525" t="s">
        <v>2568</v>
      </c>
      <c r="N18" s="2523" t="s">
        <v>2566</v>
      </c>
      <c r="O18" s="2524" t="s">
        <v>2567</v>
      </c>
      <c r="P18" s="2525" t="s">
        <v>2568</v>
      </c>
      <c r="R18" s="2197" t="s">
        <v>2307</v>
      </c>
      <c r="S18" s="2197" t="s">
        <v>2308</v>
      </c>
    </row>
    <row r="19" spans="1:19">
      <c r="A19" s="133"/>
      <c r="B19" s="115" t="s">
        <v>225</v>
      </c>
      <c r="C19" s="2939" t="s">
        <v>3117</v>
      </c>
      <c r="D19" s="111">
        <f t="shared" ref="D19:D26" si="1">ROUND($D$3*E19/$E$3,2)</f>
        <v>110209</v>
      </c>
      <c r="E19" s="134">
        <f t="shared" ref="E19:E26" si="2">SUM(F19:G19)</f>
        <v>154292.6</v>
      </c>
      <c r="F19" s="135">
        <f>'数据-基础表'!I13</f>
        <v>154292.6</v>
      </c>
      <c r="G19" s="1368"/>
      <c r="H19" s="974">
        <f>ROUND($D$3*I19/$E$3,2)</f>
        <v>0</v>
      </c>
      <c r="I19" s="116">
        <f>IF($I$17="自定义",P19,M19)</f>
        <v>0</v>
      </c>
      <c r="J19" s="1881"/>
      <c r="K19" s="2526">
        <f t="shared" ref="K19:K26" si="3">ROUND(E$28*E19/E$27,2)</f>
        <v>0</v>
      </c>
      <c r="L19" s="275">
        <f t="shared" ref="L19:L26" si="4">ROUND(IF(COUNTIF(C19,"*住宅*")&gt;0,E$29*E19/E$32,0),2)</f>
        <v>0</v>
      </c>
      <c r="M19" s="2527">
        <f>K19+L19</f>
        <v>0</v>
      </c>
      <c r="N19" s="2528"/>
      <c r="O19" s="2529"/>
      <c r="P19" s="2530">
        <f>N19+O19</f>
        <v>0</v>
      </c>
      <c r="R19" s="275">
        <f t="shared" ref="R19:S26" si="5">D19+H19</f>
        <v>110209</v>
      </c>
      <c r="S19" s="2198">
        <f t="shared" si="5"/>
        <v>154292.6</v>
      </c>
    </row>
    <row r="20" spans="1:19">
      <c r="A20" s="138"/>
      <c r="B20" s="115" t="s">
        <v>226</v>
      </c>
      <c r="C20" s="2939" t="s">
        <v>3118</v>
      </c>
      <c r="D20" s="111">
        <f t="shared" si="1"/>
        <v>0</v>
      </c>
      <c r="E20" s="134">
        <f t="shared" si="2"/>
        <v>0</v>
      </c>
      <c r="F20" s="135">
        <f>'数据-基础表'!K13</f>
        <v>0</v>
      </c>
      <c r="G20" s="1368"/>
      <c r="H20" s="974">
        <f t="shared" ref="H20:H26" si="6">ROUND($D$3*I20/$E$3,2)</f>
        <v>0</v>
      </c>
      <c r="I20" s="116">
        <f t="shared" ref="I20:I26" si="7">IF($I$17="自定义",P20,M20)</f>
        <v>0</v>
      </c>
      <c r="J20" s="1881"/>
      <c r="K20" s="2526">
        <f t="shared" si="3"/>
        <v>0</v>
      </c>
      <c r="L20" s="275">
        <f t="shared" si="4"/>
        <v>0</v>
      </c>
      <c r="M20" s="2527">
        <f t="shared" ref="M20:M26" si="8">K20+L20</f>
        <v>0</v>
      </c>
      <c r="N20" s="2528"/>
      <c r="O20" s="2529"/>
      <c r="P20" s="2530">
        <f t="shared" ref="P20:P26" si="9">N20+O20</f>
        <v>0</v>
      </c>
      <c r="R20" s="275">
        <f t="shared" si="5"/>
        <v>0</v>
      </c>
      <c r="S20" s="2198">
        <f t="shared" si="5"/>
        <v>0</v>
      </c>
    </row>
    <row r="21" spans="1:19" hidden="1">
      <c r="A21" s="138"/>
      <c r="B21" s="115" t="s">
        <v>226</v>
      </c>
      <c r="C21" s="2939"/>
      <c r="D21" s="111">
        <f t="shared" si="1"/>
        <v>0</v>
      </c>
      <c r="E21" s="134">
        <f t="shared" si="2"/>
        <v>0</v>
      </c>
      <c r="F21" s="135"/>
      <c r="G21" s="1368"/>
      <c r="H21" s="974">
        <f t="shared" si="6"/>
        <v>0</v>
      </c>
      <c r="I21" s="116">
        <f t="shared" si="7"/>
        <v>0</v>
      </c>
      <c r="J21" s="1881"/>
      <c r="K21" s="2526">
        <f t="shared" si="3"/>
        <v>0</v>
      </c>
      <c r="L21" s="275">
        <f t="shared" si="4"/>
        <v>0</v>
      </c>
      <c r="M21" s="2527">
        <f t="shared" si="8"/>
        <v>0</v>
      </c>
      <c r="N21" s="2528"/>
      <c r="O21" s="2529"/>
      <c r="P21" s="2530">
        <f t="shared" si="9"/>
        <v>0</v>
      </c>
      <c r="R21" s="275">
        <f t="shared" si="5"/>
        <v>0</v>
      </c>
      <c r="S21" s="2198">
        <f t="shared" si="5"/>
        <v>0</v>
      </c>
    </row>
    <row r="22" spans="1:19" hidden="1">
      <c r="A22" s="138"/>
      <c r="B22" s="115" t="s">
        <v>226</v>
      </c>
      <c r="C22" s="1365"/>
      <c r="D22" s="111">
        <f t="shared" si="1"/>
        <v>0</v>
      </c>
      <c r="E22" s="134">
        <f t="shared" si="2"/>
        <v>0</v>
      </c>
      <c r="F22" s="140"/>
      <c r="G22" s="1369"/>
      <c r="H22" s="974">
        <f t="shared" si="6"/>
        <v>0</v>
      </c>
      <c r="I22" s="116">
        <f t="shared" si="7"/>
        <v>0</v>
      </c>
      <c r="J22" s="1881"/>
      <c r="K22" s="2526">
        <f t="shared" si="3"/>
        <v>0</v>
      </c>
      <c r="L22" s="275">
        <f t="shared" si="4"/>
        <v>0</v>
      </c>
      <c r="M22" s="2527">
        <f t="shared" si="8"/>
        <v>0</v>
      </c>
      <c r="N22" s="2528"/>
      <c r="O22" s="2529"/>
      <c r="P22" s="2530">
        <f t="shared" si="9"/>
        <v>0</v>
      </c>
      <c r="R22" s="275">
        <f t="shared" si="5"/>
        <v>0</v>
      </c>
      <c r="S22" s="2198">
        <f t="shared" si="5"/>
        <v>0</v>
      </c>
    </row>
    <row r="23" spans="1:19" hidden="1">
      <c r="A23" s="138"/>
      <c r="B23" s="115" t="s">
        <v>226</v>
      </c>
      <c r="C23" s="139"/>
      <c r="D23" s="111">
        <f>ROUND($D$3*E23/$E$3,2)</f>
        <v>0</v>
      </c>
      <c r="E23" s="134">
        <f>SUM(F23:G23)</f>
        <v>0</v>
      </c>
      <c r="F23" s="140"/>
      <c r="G23" s="1369"/>
      <c r="H23" s="974">
        <f>ROUND($D$3*I23/$E$3,2)</f>
        <v>0</v>
      </c>
      <c r="I23" s="116">
        <f t="shared" si="7"/>
        <v>0</v>
      </c>
      <c r="J23" s="1881"/>
      <c r="K23" s="2526">
        <f t="shared" si="3"/>
        <v>0</v>
      </c>
      <c r="L23" s="275">
        <f t="shared" si="4"/>
        <v>0</v>
      </c>
      <c r="M23" s="2527">
        <f t="shared" si="8"/>
        <v>0</v>
      </c>
      <c r="N23" s="2528"/>
      <c r="O23" s="2529"/>
      <c r="P23" s="2530">
        <f t="shared" si="9"/>
        <v>0</v>
      </c>
      <c r="R23" s="275">
        <f t="shared" si="5"/>
        <v>0</v>
      </c>
      <c r="S23" s="2198">
        <f t="shared" si="5"/>
        <v>0</v>
      </c>
    </row>
    <row r="24" spans="1:19" hidden="1">
      <c r="A24" s="138"/>
      <c r="B24" s="115" t="s">
        <v>226</v>
      </c>
      <c r="C24" s="139"/>
      <c r="D24" s="111">
        <f>ROUND($D$3*E24/$E$3,2)</f>
        <v>0</v>
      </c>
      <c r="E24" s="134">
        <f>SUM(F24:G24)</f>
        <v>0</v>
      </c>
      <c r="F24" s="140"/>
      <c r="G24" s="1369"/>
      <c r="H24" s="974">
        <f>ROUND($D$3*I24/$E$3,2)</f>
        <v>0</v>
      </c>
      <c r="I24" s="116">
        <f t="shared" si="7"/>
        <v>0</v>
      </c>
      <c r="J24" s="1881"/>
      <c r="K24" s="2526">
        <f t="shared" si="3"/>
        <v>0</v>
      </c>
      <c r="L24" s="275">
        <f t="shared" si="4"/>
        <v>0</v>
      </c>
      <c r="M24" s="2527">
        <f t="shared" si="8"/>
        <v>0</v>
      </c>
      <c r="N24" s="2528"/>
      <c r="O24" s="2529"/>
      <c r="P24" s="2530">
        <f t="shared" si="9"/>
        <v>0</v>
      </c>
      <c r="R24" s="275">
        <f t="shared" si="5"/>
        <v>0</v>
      </c>
      <c r="S24" s="2198">
        <f t="shared" si="5"/>
        <v>0</v>
      </c>
    </row>
    <row r="25" spans="1:19" hidden="1">
      <c r="A25" s="138"/>
      <c r="B25" s="115" t="s">
        <v>226</v>
      </c>
      <c r="C25" s="139"/>
      <c r="D25" s="111">
        <f t="shared" si="1"/>
        <v>0</v>
      </c>
      <c r="E25" s="134">
        <f t="shared" si="2"/>
        <v>0</v>
      </c>
      <c r="F25" s="140"/>
      <c r="G25" s="1369"/>
      <c r="H25" s="110">
        <f t="shared" si="6"/>
        <v>0</v>
      </c>
      <c r="I25" s="116">
        <f t="shared" si="7"/>
        <v>0</v>
      </c>
      <c r="J25" s="1881"/>
      <c r="K25" s="2526">
        <f t="shared" si="3"/>
        <v>0</v>
      </c>
      <c r="L25" s="275">
        <f t="shared" si="4"/>
        <v>0</v>
      </c>
      <c r="M25" s="2527">
        <f t="shared" si="8"/>
        <v>0</v>
      </c>
      <c r="N25" s="2528"/>
      <c r="O25" s="2529"/>
      <c r="P25" s="2530">
        <f t="shared" si="9"/>
        <v>0</v>
      </c>
      <c r="R25" s="275">
        <f t="shared" si="5"/>
        <v>0</v>
      </c>
      <c r="S25" s="2198">
        <f t="shared" si="5"/>
        <v>0</v>
      </c>
    </row>
    <row r="26" spans="1:19" hidden="1">
      <c r="A26" s="138"/>
      <c r="B26" s="115" t="s">
        <v>226</v>
      </c>
      <c r="C26" s="142"/>
      <c r="D26" s="111">
        <f t="shared" si="1"/>
        <v>0</v>
      </c>
      <c r="E26" s="134">
        <f t="shared" si="2"/>
        <v>0</v>
      </c>
      <c r="F26" s="140"/>
      <c r="G26" s="1369"/>
      <c r="H26" s="110">
        <f t="shared" si="6"/>
        <v>0</v>
      </c>
      <c r="I26" s="116">
        <f t="shared" si="7"/>
        <v>0</v>
      </c>
      <c r="J26" s="1881"/>
      <c r="K26" s="2531">
        <f t="shared" si="3"/>
        <v>0</v>
      </c>
      <c r="L26" s="280">
        <f t="shared" si="4"/>
        <v>0</v>
      </c>
      <c r="M26" s="146">
        <f t="shared" si="8"/>
        <v>0</v>
      </c>
      <c r="N26" s="2532"/>
      <c r="O26" s="2533"/>
      <c r="P26" s="2534">
        <f t="shared" si="9"/>
        <v>0</v>
      </c>
      <c r="R26" s="275">
        <f t="shared" si="5"/>
        <v>0</v>
      </c>
      <c r="S26" s="2198">
        <f t="shared" si="5"/>
        <v>0</v>
      </c>
    </row>
    <row r="27" spans="1:19" ht="15.75" thickBot="1">
      <c r="A27" s="138"/>
      <c r="B27" s="111"/>
      <c r="C27" s="127" t="s">
        <v>215</v>
      </c>
      <c r="D27" s="134">
        <f>SUM(D19:D26)</f>
        <v>110209</v>
      </c>
      <c r="E27" s="143">
        <f>IF(SUM(E19:E26)='数据-基础表'!BA5,SUM(E19:E26),IF(F27="地上面积有误","面积有误","地下面积有误"))</f>
        <v>154292.6</v>
      </c>
      <c r="F27" s="134">
        <f>IF(SUM(F19:F26)=E8,SUM(F19:F26),"地上面积有误")</f>
        <v>154292.6</v>
      </c>
      <c r="G27" s="112">
        <f>SUM(G19:G26)</f>
        <v>0</v>
      </c>
      <c r="H27" s="975">
        <f>SUM(H19:H26)</f>
        <v>0</v>
      </c>
      <c r="I27" s="976">
        <f>SUM(I19:I26)</f>
        <v>0</v>
      </c>
      <c r="J27" s="1881"/>
      <c r="K27" s="2535">
        <f>SUM(K19:K26)</f>
        <v>0</v>
      </c>
      <c r="L27" s="2536">
        <f>SUM(L19:L26)</f>
        <v>0</v>
      </c>
      <c r="M27" s="2537">
        <f>SUM(M19:M26)</f>
        <v>0</v>
      </c>
      <c r="N27" s="2535">
        <f t="shared" ref="N27:O27" si="10">SUM(N19:N26)</f>
        <v>0</v>
      </c>
      <c r="O27" s="2536">
        <f t="shared" si="10"/>
        <v>0</v>
      </c>
      <c r="P27" s="2538">
        <f>SUM(P19:P26)</f>
        <v>0</v>
      </c>
      <c r="R27" s="2202">
        <f>IF(SUM(R19:R26)=$D$3,SUM(R19:R26),SUM(R19:R26)&amp;"误差"&amp;ROUND(SUM(R19:R26)-$D$3,2))</f>
        <v>110209</v>
      </c>
      <c r="S27" s="275">
        <f>IF(SUM(S19:S26)=$E$3,SUM(S19:S26),SUM(S19:S26)&amp;"误差"&amp;ROUND(SUM(S19:S26)-E3,2))</f>
        <v>154292.6</v>
      </c>
    </row>
    <row r="28" spans="1:19">
      <c r="A28" s="138"/>
      <c r="B28" s="115" t="s">
        <v>227</v>
      </c>
      <c r="C28" s="136" t="s">
        <v>228</v>
      </c>
      <c r="D28" s="111">
        <f>ROUND($D$3*E28/$E$3,2)</f>
        <v>0</v>
      </c>
      <c r="E28" s="134">
        <f>SUM(F28:G28)</f>
        <v>0</v>
      </c>
      <c r="F28" s="144">
        <f>'数据-基础表'!BQ5+'数据-基础表'!BS5</f>
        <v>0</v>
      </c>
      <c r="G28" s="145">
        <f>'数据-基础表'!BR5+'数据-基础表'!BT5</f>
        <v>0</v>
      </c>
      <c r="H28" s="1881"/>
      <c r="I28" s="1881"/>
      <c r="J28" s="1881"/>
      <c r="K28" s="1881"/>
      <c r="L28" s="1881"/>
    </row>
    <row r="29" spans="1:19">
      <c r="A29" s="138"/>
      <c r="B29" s="115" t="s">
        <v>227</v>
      </c>
      <c r="C29" s="2210" t="s">
        <v>2318</v>
      </c>
      <c r="D29" s="111">
        <f>ROUND($D$3*E29/$E$3,2)</f>
        <v>0</v>
      </c>
      <c r="E29" s="134">
        <f>SUM(F29:G29)</f>
        <v>0</v>
      </c>
      <c r="F29" s="144">
        <f>'数据-基础表'!BM5+'数据-基础表'!BO5</f>
        <v>0</v>
      </c>
      <c r="G29" s="146">
        <f>'数据-基础表'!BN5+'数据-基础表'!BP5</f>
        <v>0</v>
      </c>
      <c r="H29" s="1881"/>
      <c r="I29" s="1881"/>
      <c r="J29" s="1881"/>
      <c r="K29" s="1881"/>
      <c r="L29" s="1881"/>
    </row>
    <row r="30" spans="1:19">
      <c r="A30" s="138"/>
      <c r="B30" s="111"/>
      <c r="C30" s="147" t="s">
        <v>215</v>
      </c>
      <c r="D30" s="134">
        <f>SUM(D28:D29)</f>
        <v>0</v>
      </c>
      <c r="E30" s="134">
        <f>SUM(E28:E29)</f>
        <v>0</v>
      </c>
      <c r="F30" s="134">
        <f>SUM(F28:F29)</f>
        <v>0</v>
      </c>
      <c r="G30" s="112">
        <f>SUM(G28:G29)</f>
        <v>0</v>
      </c>
      <c r="H30" s="1881"/>
      <c r="I30" s="1881"/>
      <c r="J30" s="1881"/>
      <c r="K30" s="1881"/>
      <c r="L30" s="1881"/>
    </row>
    <row r="31" spans="1:19" ht="32.25" customHeight="1" thickBot="1">
      <c r="A31" s="1370"/>
      <c r="B31" s="1371" t="s">
        <v>229</v>
      </c>
      <c r="C31" s="2227" t="s">
        <v>2320</v>
      </c>
      <c r="D31" s="1372">
        <f>D27+D30</f>
        <v>110209</v>
      </c>
      <c r="E31" s="1372">
        <f>E27+E30</f>
        <v>154292.6</v>
      </c>
      <c r="F31" s="1373">
        <f>F27+F30</f>
        <v>154292.6</v>
      </c>
      <c r="G31" s="1374">
        <f>G27+G30</f>
        <v>0</v>
      </c>
      <c r="H31" s="1881"/>
      <c r="I31" s="1881"/>
      <c r="J31" s="1881"/>
      <c r="K31" s="1881"/>
      <c r="L31" s="1881"/>
    </row>
    <row r="32" spans="1:19">
      <c r="A32" s="1881"/>
      <c r="B32" s="2260" t="s">
        <v>2319</v>
      </c>
      <c r="C32" s="2563"/>
      <c r="D32" s="1201"/>
      <c r="E32" s="1201">
        <f>SUMIF(C19:C26,"*住宅*",E19:E26)</f>
        <v>154292.6</v>
      </c>
      <c r="F32" s="1201"/>
      <c r="G32" s="1201"/>
    </row>
    <row r="33" spans="4:4">
      <c r="D33" s="18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32" activePane="bottomRight" state="frozen"/>
      <selection pane="topRight" activeCell="D1" sqref="D1"/>
      <selection pane="bottomLeft" activeCell="A4" sqref="A4"/>
      <selection pane="bottomRight" activeCell="F46" sqref="F4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895"/>
    <col min="42" max="42" width="0" style="1895" hidden="1" customWidth="1"/>
    <col min="43" max="83" width="13.75" style="1895"/>
    <col min="84" max="16384" width="13.75" style="1203"/>
  </cols>
  <sheetData>
    <row r="1" spans="1:83" ht="19.5" thickBot="1">
      <c r="A1" s="148" t="s">
        <v>234</v>
      </c>
      <c r="B1" s="12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206" customFormat="1" ht="15.75" thickBot="1">
      <c r="A2" s="149" t="s">
        <v>235</v>
      </c>
      <c r="B2" s="2235">
        <f>项目基本情况!D3</f>
        <v>43095</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206" customFormat="1" ht="15" thickBot="1">
      <c r="A3" s="1207"/>
      <c r="B3" s="12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212" customFormat="1" ht="54">
      <c r="A5" s="2201"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2827</v>
      </c>
      <c r="O5" s="163" t="s">
        <v>246</v>
      </c>
      <c r="P5" s="165" t="s">
        <v>247</v>
      </c>
      <c r="Q5" s="166" t="s">
        <v>248</v>
      </c>
      <c r="R5" s="167" t="s">
        <v>249</v>
      </c>
      <c r="S5" s="2539" t="s">
        <v>2569</v>
      </c>
      <c r="T5" s="168" t="s">
        <v>250</v>
      </c>
      <c r="U5" s="169" t="s">
        <v>251</v>
      </c>
      <c r="V5" s="159" t="s">
        <v>252</v>
      </c>
      <c r="W5" s="159" t="s">
        <v>253</v>
      </c>
      <c r="X5" s="1722"/>
      <c r="Y5" s="170" t="s">
        <v>254</v>
      </c>
      <c r="Z5" s="171" t="s">
        <v>255</v>
      </c>
      <c r="AA5" s="159" t="s">
        <v>252</v>
      </c>
      <c r="AB5" s="159" t="s">
        <v>253</v>
      </c>
      <c r="AC5" s="1723"/>
      <c r="AD5" s="172" t="s">
        <v>254</v>
      </c>
      <c r="AE5" s="1" t="s">
        <v>868</v>
      </c>
      <c r="AF5" s="159" t="s">
        <v>256</v>
      </c>
      <c r="AG5" s="170" t="s">
        <v>257</v>
      </c>
      <c r="AH5" s="1723" t="s">
        <v>2321</v>
      </c>
      <c r="AI5" s="171" t="s">
        <v>2290</v>
      </c>
      <c r="AJ5" s="171" t="s">
        <v>258</v>
      </c>
      <c r="AK5" s="159" t="s">
        <v>259</v>
      </c>
      <c r="AL5" s="159" t="s">
        <v>260</v>
      </c>
      <c r="AM5" s="172" t="s">
        <v>261</v>
      </c>
      <c r="AN5" s="2311" t="s">
        <v>2369</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206" customFormat="1" ht="14.25">
      <c r="A6" s="2199" t="str">
        <f>'数据-汇总表'!C19</f>
        <v>普通住宅</v>
      </c>
      <c r="B6" s="2234" t="str">
        <f>IF(A6=0,"","经营性")</f>
        <v>经营性</v>
      </c>
      <c r="C6" s="173" t="s">
        <v>921</v>
      </c>
      <c r="D6" s="2205">
        <f>SUMIF(项目基本情况!D$15:I$15,C6,项目基本情况!D$18:I$18)</f>
        <v>70</v>
      </c>
      <c r="E6" s="2206">
        <f>IF(B6="","",SUMIF(项目基本情况!D$15:I$15,C6,项目基本情况!D$17:I$17))</f>
        <v>66425</v>
      </c>
      <c r="F6" s="174">
        <f>SUMIF(项目基本情况!D$15:I$15,C6,项目基本情况!D$19:I$19)</f>
        <v>63.91</v>
      </c>
      <c r="G6" s="175">
        <f>IF(ISERROR(ROUND(POWER(1+H6,D6-F6)*(POWER(1+H6,F6)-1)/(POWER(1+H6,D6)-1),3)),0,ROUND(POWER(1+H6,D6-F6)*(POWER(1+H6,F6)-1)/(POWER(1+H6,D6)-1),3))</f>
        <v>0.98099999999999998</v>
      </c>
      <c r="H6" s="2940">
        <v>0.04</v>
      </c>
      <c r="I6" s="2940">
        <v>0.05</v>
      </c>
      <c r="J6" s="176">
        <v>8.5000000000000006E-2</v>
      </c>
      <c r="K6" s="179">
        <f>SUMIF('数据-汇总表'!C$19:C$33,'数据-取费表'!A6,'数据-汇总表'!E$19:E$33)</f>
        <v>154292.6</v>
      </c>
      <c r="L6" s="2941">
        <v>3200</v>
      </c>
      <c r="M6" s="177">
        <f t="shared" ref="M6:M14" si="0">ROUND(K6*L6/10000,0)</f>
        <v>49374</v>
      </c>
      <c r="N6" s="2942">
        <v>0</v>
      </c>
      <c r="O6" s="177">
        <f>IF($N$5="成新度","——",ROUND(M6*N6,0))</f>
        <v>0</v>
      </c>
      <c r="P6" s="178">
        <f>IF($N$5="成新度","——",M6-O6)</f>
        <v>49374</v>
      </c>
      <c r="Q6" s="2943">
        <v>0.15</v>
      </c>
      <c r="R6" s="179">
        <f>SUMIF('数据-汇总表'!C$19:C$33,A6,'数据-汇总表'!R$19:R$33)</f>
        <v>110209</v>
      </c>
      <c r="S6" s="132">
        <f>IF('数据-汇总表'!$I$17="按面积比例",SUMIF('数据-汇总表'!C$19:C$33,A6,'数据-汇总表'!K$19:K$33),SUMIF('数据-汇总表'!C$19:C$33,A6,'数据-汇总表'!N$19:N$33))</f>
        <v>0</v>
      </c>
      <c r="T6" s="2131" t="str">
        <f>IF($T$4="按面积比例",IF(ISERROR(ROUND($M$14*S6/S$16,0)),"0",ROUND($M$14*S6/S$16,0)),"需自行计算录入")</f>
        <v>0</v>
      </c>
      <c r="U6" s="180"/>
      <c r="V6" s="181"/>
      <c r="W6" s="181"/>
      <c r="X6" s="2218"/>
      <c r="Y6" s="182"/>
      <c r="Z6" s="183"/>
      <c r="AA6" s="176"/>
      <c r="AB6" s="176"/>
      <c r="AC6" s="2221"/>
      <c r="AD6" s="184"/>
      <c r="AE6" s="972">
        <f ca="1">IF(AN6="",0,SUMIF(INDIRECT("'"&amp;AN6&amp;"'"&amp;"!E:E"),$AE$5,INDIRECT("'"&amp;AN6&amp;"'"&amp;"!F:F")))</f>
        <v>0</v>
      </c>
      <c r="AF6" s="141"/>
      <c r="AG6" s="1213">
        <f>IF(AF6="",0,AE6-AF6)</f>
        <v>0</v>
      </c>
      <c r="AH6" s="141"/>
      <c r="AI6" s="187"/>
      <c r="AJ6" s="188"/>
      <c r="AK6" s="189"/>
      <c r="AL6" s="190"/>
      <c r="AM6" s="2954"/>
      <c r="AN6" s="2312"/>
      <c r="AO6" s="1897"/>
      <c r="AP6" s="1204">
        <f>ROUND(1-1/(1+H6)^F6,3)</f>
        <v>0.91800000000000004</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206" customFormat="1" ht="14.25" hidden="1">
      <c r="A7" s="2199" t="str">
        <f>'数据-汇总表'!C20</f>
        <v>底商</v>
      </c>
      <c r="B7" s="2234" t="str">
        <f t="shared" ref="B7:B13" si="1">IF(A7=0,"","经营性")</f>
        <v>经营性</v>
      </c>
      <c r="C7" s="173"/>
      <c r="D7" s="2205">
        <f>SUMIF(项目基本情况!D$15:I$15,C7,项目基本情况!D$18:I$18)</f>
        <v>0</v>
      </c>
      <c r="E7" s="2206">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40"/>
      <c r="I7" s="2940"/>
      <c r="J7" s="176"/>
      <c r="K7" s="179">
        <f>SUMIF('数据-汇总表'!C$19:C$33,'数据-取费表'!A7,'数据-汇总表'!E$19:E$33)</f>
        <v>0</v>
      </c>
      <c r="L7" s="2941"/>
      <c r="M7" s="177">
        <f t="shared" si="0"/>
        <v>0</v>
      </c>
      <c r="N7" s="2942"/>
      <c r="O7" s="177">
        <f t="shared" ref="O7:O14" si="3">IF($N$5="成新度","——",ROUND(M7*N7,0))</f>
        <v>0</v>
      </c>
      <c r="P7" s="178">
        <f t="shared" ref="P7:P14" si="4">IF($N$5="成新度","——",M7-O7)</f>
        <v>0</v>
      </c>
      <c r="Q7" s="2943"/>
      <c r="R7" s="179">
        <f>SUMIF('数据-汇总表'!C$19:C$33,A7,'数据-汇总表'!R$19:R$33)</f>
        <v>0</v>
      </c>
      <c r="S7" s="132">
        <f>IF('数据-汇总表'!$I$17="按面积比例",SUMIF('数据-汇总表'!C$19:C$33,A7,'数据-汇总表'!K$19:K$33),SUMIF('数据-汇总表'!C$19:C$33,A7,'数据-汇总表'!N$19:N$33))</f>
        <v>0</v>
      </c>
      <c r="T7" s="2131" t="str">
        <f t="shared" ref="T7:T13" si="5">IF($T$4="按面积比例",IF(ISERROR(ROUND($M$14*S7/S$16,0)),"0",ROUND($M$14*S7/S$16,0)),"需自行计算录入")</f>
        <v>0</v>
      </c>
      <c r="U7" s="180"/>
      <c r="V7" s="181"/>
      <c r="W7" s="181"/>
      <c r="X7" s="2218"/>
      <c r="Y7" s="182"/>
      <c r="Z7" s="183"/>
      <c r="AA7" s="176"/>
      <c r="AB7" s="176"/>
      <c r="AC7" s="2221"/>
      <c r="AD7" s="184"/>
      <c r="AE7" s="972">
        <f t="shared" ref="AE7:AE13" ca="1" si="6">IF(AN7="",0,SUMIF(INDIRECT("'"&amp;AN7&amp;"'"&amp;"!E:E"),$AE$5,INDIRECT("'"&amp;AN7&amp;"'"&amp;"!F:F")))</f>
        <v>0</v>
      </c>
      <c r="AF7" s="141"/>
      <c r="AG7" s="1213">
        <f t="shared" ref="AG7:AG13" si="7">IF(AF7="",0,AE7-AF7)</f>
        <v>0</v>
      </c>
      <c r="AH7" s="141"/>
      <c r="AI7" s="187"/>
      <c r="AJ7" s="188"/>
      <c r="AK7" s="189"/>
      <c r="AL7" s="190"/>
      <c r="AM7" s="2310"/>
      <c r="AN7" s="2312"/>
      <c r="AO7" s="1897"/>
      <c r="AP7" s="1204">
        <f t="shared" ref="AP7:AP13" si="8">ROUND(1-1/(1+H7)^F7,3)</f>
        <v>0</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206" customFormat="1" ht="14.25" hidden="1">
      <c r="A8" s="2199">
        <f>'数据-汇总表'!C21</f>
        <v>0</v>
      </c>
      <c r="B8" s="2234" t="str">
        <f t="shared" si="1"/>
        <v/>
      </c>
      <c r="C8" s="173"/>
      <c r="D8" s="2205">
        <f>SUMIF(项目基本情况!D$15:I$15,C8,项目基本情况!D$18:I$18)</f>
        <v>0</v>
      </c>
      <c r="E8" s="2206" t="str">
        <f>IF(B8="","",SUMIF(项目基本情况!D$15:I$15,C8,项目基本情况!D$17:I$17))</f>
        <v/>
      </c>
      <c r="F8" s="174">
        <f>SUMIF(项目基本情况!D$15:I$15,C8,项目基本情况!D$19:I$19)</f>
        <v>0</v>
      </c>
      <c r="G8" s="175">
        <f t="shared" si="2"/>
        <v>0</v>
      </c>
      <c r="H8" s="2940"/>
      <c r="I8" s="2940"/>
      <c r="J8" s="176"/>
      <c r="K8" s="179">
        <f>SUMIF('数据-汇总表'!C$19:C$33,'数据-取费表'!A8,'数据-汇总表'!E$19:E$33)</f>
        <v>0</v>
      </c>
      <c r="L8" s="2941"/>
      <c r="M8" s="177">
        <f>ROUND(K8*L8/10000,0)</f>
        <v>0</v>
      </c>
      <c r="N8" s="2942"/>
      <c r="O8" s="177">
        <f t="shared" si="3"/>
        <v>0</v>
      </c>
      <c r="P8" s="178">
        <f t="shared" si="4"/>
        <v>0</v>
      </c>
      <c r="Q8" s="2943"/>
      <c r="R8" s="179">
        <f>SUMIF('数据-汇总表'!C$19:C$33,A8,'数据-汇总表'!R$19:R$33)</f>
        <v>0</v>
      </c>
      <c r="S8" s="132">
        <f>IF('数据-汇总表'!$I$17="按面积比例",SUMIF('数据-汇总表'!C$19:C$33,A8,'数据-汇总表'!K$19:K$33),SUMIF('数据-汇总表'!C$19:C$33,A8,'数据-汇总表'!N$19:N$33))</f>
        <v>0</v>
      </c>
      <c r="T8" s="2131" t="str">
        <f t="shared" si="5"/>
        <v>0</v>
      </c>
      <c r="U8" s="180"/>
      <c r="V8" s="181"/>
      <c r="W8" s="181"/>
      <c r="X8" s="2218"/>
      <c r="Y8" s="182"/>
      <c r="Z8" s="183"/>
      <c r="AA8" s="176"/>
      <c r="AB8" s="176"/>
      <c r="AC8" s="2221"/>
      <c r="AD8" s="184"/>
      <c r="AE8" s="972">
        <f t="shared" ca="1" si="6"/>
        <v>0</v>
      </c>
      <c r="AF8" s="141"/>
      <c r="AG8" s="1213">
        <f t="shared" si="7"/>
        <v>0</v>
      </c>
      <c r="AH8" s="141"/>
      <c r="AI8" s="187"/>
      <c r="AJ8" s="188"/>
      <c r="AK8" s="189"/>
      <c r="AL8" s="190"/>
      <c r="AM8" s="2310"/>
      <c r="AN8" s="2312"/>
      <c r="AO8" s="1897"/>
      <c r="AP8" s="1204">
        <f t="shared" si="8"/>
        <v>0</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206" customFormat="1" ht="14.25" hidden="1">
      <c r="A9" s="2199">
        <f>'数据-汇总表'!C22</f>
        <v>0</v>
      </c>
      <c r="B9" s="2234" t="str">
        <f t="shared" si="1"/>
        <v/>
      </c>
      <c r="C9" s="173"/>
      <c r="D9" s="2205">
        <f>SUMIF(项目基本情况!D$15:I$15,C9,项目基本情况!D$18:I$18)</f>
        <v>0</v>
      </c>
      <c r="E9" s="22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31" t="str">
        <f t="shared" si="5"/>
        <v>0</v>
      </c>
      <c r="U9" s="180"/>
      <c r="V9" s="181"/>
      <c r="W9" s="181"/>
      <c r="X9" s="2218"/>
      <c r="Y9" s="182"/>
      <c r="Z9" s="183"/>
      <c r="AA9" s="176"/>
      <c r="AB9" s="176"/>
      <c r="AC9" s="2221"/>
      <c r="AD9" s="184"/>
      <c r="AE9" s="972">
        <f t="shared" ca="1" si="6"/>
        <v>0</v>
      </c>
      <c r="AF9" s="141"/>
      <c r="AG9" s="1213">
        <f t="shared" si="7"/>
        <v>0</v>
      </c>
      <c r="AH9" s="141"/>
      <c r="AI9" s="187"/>
      <c r="AJ9" s="188"/>
      <c r="AK9" s="189"/>
      <c r="AL9" s="190"/>
      <c r="AM9" s="2310"/>
      <c r="AN9" s="2312"/>
      <c r="AO9" s="1897"/>
      <c r="AP9" s="1204">
        <f t="shared" si="8"/>
        <v>0</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206" customFormat="1" ht="14.25" hidden="1">
      <c r="A10" s="2199">
        <f>'数据-汇总表'!C23</f>
        <v>0</v>
      </c>
      <c r="B10" s="2234" t="str">
        <f t="shared" si="1"/>
        <v/>
      </c>
      <c r="C10" s="173"/>
      <c r="D10" s="2205">
        <f>SUMIF(项目基本情况!D$15:I$15,C10,项目基本情况!D$18:I$18)</f>
        <v>0</v>
      </c>
      <c r="E10" s="22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31" t="str">
        <f t="shared" si="5"/>
        <v>0</v>
      </c>
      <c r="U10" s="180"/>
      <c r="V10" s="181"/>
      <c r="W10" s="181"/>
      <c r="X10" s="2218"/>
      <c r="Y10" s="182"/>
      <c r="Z10" s="183"/>
      <c r="AA10" s="176"/>
      <c r="AB10" s="176"/>
      <c r="AC10" s="2221"/>
      <c r="AD10" s="184"/>
      <c r="AE10" s="972">
        <f t="shared" ca="1" si="6"/>
        <v>0</v>
      </c>
      <c r="AF10" s="141"/>
      <c r="AG10" s="1213">
        <f t="shared" si="7"/>
        <v>0</v>
      </c>
      <c r="AH10" s="141"/>
      <c r="AI10" s="187"/>
      <c r="AJ10" s="188"/>
      <c r="AK10" s="189"/>
      <c r="AL10" s="190"/>
      <c r="AM10" s="2310"/>
      <c r="AN10" s="2312"/>
      <c r="AO10" s="1897"/>
      <c r="AP10" s="12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206" customFormat="1" ht="14.25" hidden="1">
      <c r="A11" s="2199">
        <f>'数据-汇总表'!C24</f>
        <v>0</v>
      </c>
      <c r="B11" s="2234" t="str">
        <f t="shared" si="1"/>
        <v/>
      </c>
      <c r="C11" s="173"/>
      <c r="D11" s="2205">
        <f>SUMIF(项目基本情况!D$15:I$15,C11,项目基本情况!D$18:I$18)</f>
        <v>0</v>
      </c>
      <c r="E11" s="22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31" t="str">
        <f t="shared" si="5"/>
        <v>0</v>
      </c>
      <c r="U11" s="185"/>
      <c r="V11" s="176"/>
      <c r="W11" s="176"/>
      <c r="X11" s="2221"/>
      <c r="Y11" s="182"/>
      <c r="Z11" s="195"/>
      <c r="AA11" s="176"/>
      <c r="AB11" s="176"/>
      <c r="AC11" s="2221"/>
      <c r="AD11" s="184"/>
      <c r="AE11" s="972">
        <f t="shared" ca="1" si="6"/>
        <v>0</v>
      </c>
      <c r="AF11" s="141"/>
      <c r="AG11" s="1213">
        <f t="shared" si="7"/>
        <v>0</v>
      </c>
      <c r="AH11" s="141"/>
      <c r="AI11" s="187"/>
      <c r="AJ11" s="188"/>
      <c r="AK11" s="196"/>
      <c r="AL11" s="197"/>
      <c r="AM11" s="1721"/>
      <c r="AN11" s="2312"/>
      <c r="AO11" s="1897"/>
      <c r="AP11" s="12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206" customFormat="1" ht="14.25" hidden="1">
      <c r="A12" s="2199">
        <f>'数据-汇总表'!C25</f>
        <v>0</v>
      </c>
      <c r="B12" s="2234" t="str">
        <f t="shared" si="1"/>
        <v/>
      </c>
      <c r="C12" s="173"/>
      <c r="D12" s="2205">
        <f>SUMIF(项目基本情况!D$15:I$15,C12,项目基本情况!D$18:I$18)</f>
        <v>0</v>
      </c>
      <c r="E12" s="22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31" t="str">
        <f t="shared" si="5"/>
        <v>0</v>
      </c>
      <c r="U12" s="185"/>
      <c r="V12" s="176"/>
      <c r="W12" s="176"/>
      <c r="X12" s="2221"/>
      <c r="Y12" s="182"/>
      <c r="Z12" s="195"/>
      <c r="AA12" s="176"/>
      <c r="AB12" s="176"/>
      <c r="AC12" s="2221"/>
      <c r="AD12" s="184"/>
      <c r="AE12" s="972">
        <f t="shared" ca="1" si="6"/>
        <v>0</v>
      </c>
      <c r="AF12" s="141"/>
      <c r="AG12" s="1213">
        <f t="shared" si="7"/>
        <v>0</v>
      </c>
      <c r="AH12" s="141"/>
      <c r="AI12" s="187"/>
      <c r="AJ12" s="188"/>
      <c r="AK12" s="196"/>
      <c r="AL12" s="197"/>
      <c r="AM12" s="1721"/>
      <c r="AN12" s="2312"/>
      <c r="AO12" s="1897"/>
      <c r="AP12" s="12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206" customFormat="1" ht="14.25" hidden="1">
      <c r="A13" s="2199">
        <f>'数据-汇总表'!C26</f>
        <v>0</v>
      </c>
      <c r="B13" s="2234" t="str">
        <f t="shared" si="1"/>
        <v/>
      </c>
      <c r="C13" s="173"/>
      <c r="D13" s="2205">
        <f>SUMIF(项目基本情况!D$15:I$15,C13,项目基本情况!D$18:I$18)</f>
        <v>0</v>
      </c>
      <c r="E13" s="22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31" t="str">
        <f t="shared" si="5"/>
        <v>0</v>
      </c>
      <c r="U13" s="180"/>
      <c r="V13" s="181"/>
      <c r="W13" s="181"/>
      <c r="X13" s="2218"/>
      <c r="Y13" s="182"/>
      <c r="Z13" s="183"/>
      <c r="AA13" s="176"/>
      <c r="AB13" s="176"/>
      <c r="AC13" s="2221"/>
      <c r="AD13" s="184"/>
      <c r="AE13" s="972">
        <f t="shared" ca="1" si="6"/>
        <v>0</v>
      </c>
      <c r="AF13" s="141"/>
      <c r="AG13" s="1213">
        <f t="shared" si="7"/>
        <v>0</v>
      </c>
      <c r="AH13" s="141"/>
      <c r="AI13" s="187"/>
      <c r="AJ13" s="188"/>
      <c r="AK13" s="189"/>
      <c r="AL13" s="190"/>
      <c r="AM13" s="2310"/>
      <c r="AN13" s="2312"/>
      <c r="AO13" s="1897"/>
      <c r="AP13" s="12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206" customFormat="1" ht="14.25">
      <c r="A14" s="2200" t="s">
        <v>2312</v>
      </c>
      <c r="B14" s="2203" t="s">
        <v>1678</v>
      </c>
      <c r="C14" s="2204" t="s">
        <v>2312</v>
      </c>
      <c r="D14" s="2205"/>
      <c r="E14" s="2206"/>
      <c r="F14" s="174"/>
      <c r="G14" s="175"/>
      <c r="H14" s="2207"/>
      <c r="I14" s="2207"/>
      <c r="J14" s="2207"/>
      <c r="K14" s="179">
        <f>SUMIF('数据-汇总表'!C$19:C$33,'数据-取费表'!A14,'数据-汇总表'!E$19:E$33)</f>
        <v>0</v>
      </c>
      <c r="L14" s="193">
        <v>2000</v>
      </c>
      <c r="M14" s="177">
        <f t="shared" si="0"/>
        <v>0</v>
      </c>
      <c r="N14" s="194">
        <v>0</v>
      </c>
      <c r="O14" s="177">
        <f t="shared" si="3"/>
        <v>0</v>
      </c>
      <c r="P14" s="178">
        <f t="shared" si="4"/>
        <v>0</v>
      </c>
      <c r="Q14" s="2215"/>
      <c r="R14" s="179"/>
      <c r="S14" s="132"/>
      <c r="T14" s="2214"/>
      <c r="U14" s="974"/>
      <c r="V14" s="2217"/>
      <c r="W14" s="2217"/>
      <c r="X14" s="2218"/>
      <c r="Y14" s="2219"/>
      <c r="Z14" s="136"/>
      <c r="AA14" s="2220"/>
      <c r="AB14" s="2220"/>
      <c r="AC14" s="2221"/>
      <c r="AD14" s="2218"/>
      <c r="AE14" s="972"/>
      <c r="AF14" s="2193"/>
      <c r="AG14" s="1213"/>
      <c r="AH14" s="2193"/>
      <c r="AI14" s="1572"/>
      <c r="AJ14" s="1572"/>
      <c r="AK14" s="2222"/>
      <c r="AL14" s="2223"/>
      <c r="AM14" s="2224"/>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206" customFormat="1" ht="27">
      <c r="A15" s="2209" t="s">
        <v>2314</v>
      </c>
      <c r="B15" s="2203" t="s">
        <v>1678</v>
      </c>
      <c r="C15" s="2204" t="s">
        <v>2313</v>
      </c>
      <c r="D15" s="2205"/>
      <c r="E15" s="2206"/>
      <c r="F15" s="174"/>
      <c r="G15" s="175"/>
      <c r="H15" s="2207"/>
      <c r="I15" s="2207"/>
      <c r="J15" s="2207"/>
      <c r="K15" s="179">
        <f>SUMIF('数据-汇总表'!C$19:C$33,'数据-取费表'!A15,'数据-汇总表'!E$19:E$33)</f>
        <v>0</v>
      </c>
      <c r="L15" s="2213"/>
      <c r="M15" s="177"/>
      <c r="N15" s="2216"/>
      <c r="O15" s="177"/>
      <c r="P15" s="178"/>
      <c r="Q15" s="2215"/>
      <c r="R15" s="179"/>
      <c r="S15" s="132"/>
      <c r="T15" s="2214"/>
      <c r="U15" s="974"/>
      <c r="V15" s="2217"/>
      <c r="W15" s="2217"/>
      <c r="X15" s="2218"/>
      <c r="Y15" s="2219"/>
      <c r="Z15" s="136"/>
      <c r="AA15" s="2220"/>
      <c r="AB15" s="2220"/>
      <c r="AC15" s="2221"/>
      <c r="AD15" s="2218"/>
      <c r="AE15" s="972"/>
      <c r="AF15" s="2193"/>
      <c r="AG15" s="1213"/>
      <c r="AH15" s="2193"/>
      <c r="AI15" s="1572"/>
      <c r="AJ15" s="1572"/>
      <c r="AK15" s="2222"/>
      <c r="AL15" s="2223"/>
      <c r="AM15" s="2224"/>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0.04</v>
      </c>
      <c r="I16" s="204"/>
      <c r="J16" s="204"/>
      <c r="K16" s="205">
        <f>SUM(K6:K15)</f>
        <v>154292.6</v>
      </c>
      <c r="L16" s="206">
        <f>ROUND(M16*10000/SUM(K6:K14),0)</f>
        <v>3200</v>
      </c>
      <c r="M16" s="206">
        <f>SUM(M6:M14)</f>
        <v>49374</v>
      </c>
      <c r="N16" s="207">
        <f>ROUND(SUMPRODUCT(M6:M14,N6:N14)/M16,3)</f>
        <v>0</v>
      </c>
      <c r="O16" s="206">
        <f>SUM(O6:O14)</f>
        <v>0</v>
      </c>
      <c r="P16" s="206">
        <f>SUM(P6:P14)</f>
        <v>49374</v>
      </c>
      <c r="Q16" s="208">
        <f>ROUND(SUMPRODUCT(Q6:Q13,K6:K13)/SUMPRODUCT((Q6:Q13&gt;0)*(K6:K13)),2)</f>
        <v>0.15</v>
      </c>
      <c r="R16" s="2208">
        <f>SUM(R6:R13)</f>
        <v>110209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897"/>
      <c r="AO16" s="1897"/>
      <c r="AP16" s="1204">
        <f>ROUND(SUMPRODUCT(AP6:AP13,K6:K13)/SUMPRODUCT((AP6:AP13&gt;0)*(K6:K13)),3)</f>
        <v>0.91800000000000004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214"/>
      <c r="B17" s="12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150" t="s">
        <v>263</v>
      </c>
      <c r="B18" s="12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217" t="s">
        <v>264</v>
      </c>
      <c r="B19" s="218">
        <v>0</v>
      </c>
      <c r="C19" s="2261" t="s">
        <v>2332</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219" t="s">
        <v>265</v>
      </c>
      <c r="B20" s="220">
        <v>3</v>
      </c>
      <c r="C20" s="2261" t="s">
        <v>2331</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221" t="s">
        <v>266</v>
      </c>
      <c r="B21" s="220">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219" t="s">
        <v>267</v>
      </c>
      <c r="B22" s="222">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221" t="s">
        <v>268</v>
      </c>
      <c r="B23" s="222">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223" t="s">
        <v>269</v>
      </c>
      <c r="B24" s="224">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207"/>
      <c r="B25" s="12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149" t="s">
        <v>270</v>
      </c>
      <c r="B26" s="225" t="s">
        <v>271</v>
      </c>
      <c r="C26" s="1892" t="s">
        <v>272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215" customFormat="1" ht="27.75">
      <c r="A27" s="226" t="s">
        <v>2334</v>
      </c>
      <c r="B27" s="227">
        <v>127</v>
      </c>
      <c r="C27" s="2983" t="s">
        <v>3159</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215" customFormat="1" ht="27.75">
      <c r="A28" s="228" t="s">
        <v>2335</v>
      </c>
      <c r="B28" s="229">
        <v>127</v>
      </c>
      <c r="C28" s="2263"/>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215" customFormat="1" ht="28.5" thickBot="1">
      <c r="A29" s="231" t="s">
        <v>2333</v>
      </c>
      <c r="B29" s="232">
        <v>0</v>
      </c>
      <c r="C29" s="1553" t="s">
        <v>2336</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215" customFormat="1" ht="27">
      <c r="A30" s="235" t="s">
        <v>273</v>
      </c>
      <c r="B30" s="978">
        <v>200</v>
      </c>
      <c r="C30" s="2263"/>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215" customFormat="1" ht="27">
      <c r="A31" s="228" t="s">
        <v>274</v>
      </c>
      <c r="B31" s="230">
        <f>B30-B32</f>
        <v>100</v>
      </c>
      <c r="C31" s="2264"/>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215" customFormat="1" ht="27.75" thickBot="1">
      <c r="A32" s="237" t="s">
        <v>275</v>
      </c>
      <c r="B32" s="1378">
        <v>100</v>
      </c>
      <c r="C32" s="2263"/>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215" customFormat="1" ht="14.25">
      <c r="A33" s="226" t="s">
        <v>278</v>
      </c>
      <c r="B33" s="1379">
        <v>0.05</v>
      </c>
      <c r="C33" s="2262" t="s">
        <v>2888</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228" t="s">
        <v>279</v>
      </c>
      <c r="B34" s="233">
        <v>0.1</v>
      </c>
      <c r="C34" s="2262" t="s">
        <v>2889</v>
      </c>
      <c r="D34" s="1890" t="s">
        <v>869</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228" t="s">
        <v>276</v>
      </c>
      <c r="B35" s="229">
        <f>B30</f>
        <v>200</v>
      </c>
      <c r="C35" s="2262" t="s">
        <v>2890</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231" t="s">
        <v>277</v>
      </c>
      <c r="B36" s="234">
        <v>1.4999999999999999E-2</v>
      </c>
      <c r="C36" s="2262" t="s">
        <v>2891</v>
      </c>
      <c r="D36" s="1887"/>
      <c r="E36" s="12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235" t="s">
        <v>280</v>
      </c>
      <c r="B37" s="236">
        <v>1.4999999999999999E-2</v>
      </c>
      <c r="C37" s="2262" t="s">
        <v>2892</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228" t="s">
        <v>281</v>
      </c>
      <c r="B38" s="233">
        <v>0.03</v>
      </c>
      <c r="C38" s="2262" t="s">
        <v>2892</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407" t="s">
        <v>2452</v>
      </c>
      <c r="B39" s="800">
        <f ca="1">存贷款利率!C4</f>
        <v>1.4999999999999999E-2</v>
      </c>
      <c r="C39" s="2262"/>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407" t="s">
        <v>2453</v>
      </c>
      <c r="B40" s="2399">
        <f ca="1">存贷款利率!E2</f>
        <v>4.7500000000000001E-2</v>
      </c>
      <c r="C40" s="2262" t="s">
        <v>2337</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226" t="s">
        <v>282</v>
      </c>
      <c r="B41" s="238">
        <f>B42+B43</f>
        <v>5.6000000000000001E-2</v>
      </c>
      <c r="C41" s="2264"/>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79" t="s">
        <v>283</v>
      </c>
      <c r="B42" s="240">
        <v>0.05</v>
      </c>
      <c r="C42" s="3009">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79" t="s">
        <v>284</v>
      </c>
      <c r="B43" s="241">
        <f>B42*(B44+B45+B46)+B47</f>
        <v>6.000000000000001E-3</v>
      </c>
      <c r="C43" s="2264"/>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239" t="s">
        <v>285</v>
      </c>
      <c r="B44" s="242">
        <v>7.0000000000000007E-2</v>
      </c>
      <c r="C44" s="2262" t="s">
        <v>2893</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239" t="s">
        <v>286</v>
      </c>
      <c r="B45" s="240">
        <v>0.03</v>
      </c>
      <c r="C45" s="2264" t="s">
        <v>2894</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239" t="s">
        <v>287</v>
      </c>
      <c r="B46" s="240">
        <v>0.02</v>
      </c>
      <c r="C46" s="2264" t="s">
        <v>2895</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243" t="s">
        <v>288</v>
      </c>
      <c r="B47" s="244"/>
      <c r="C47" s="2983" t="s">
        <v>2896</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245" t="s">
        <v>289</v>
      </c>
      <c r="B48" s="246">
        <v>0.03</v>
      </c>
      <c r="C48" s="2984" t="s">
        <v>2897</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237" t="s">
        <v>290</v>
      </c>
      <c r="B49" s="240">
        <v>0.05</v>
      </c>
      <c r="C49" s="2984" t="s">
        <v>2898</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247" t="s">
        <v>291</v>
      </c>
      <c r="B50" s="248">
        <v>1.2E-2</v>
      </c>
      <c r="C50" s="2263"/>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231" t="s">
        <v>292</v>
      </c>
      <c r="B51" s="249">
        <v>0.12</v>
      </c>
      <c r="C51" s="2263"/>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247" t="s">
        <v>293</v>
      </c>
      <c r="B52" s="250">
        <f>SUMIF(A54:A63,B53,B54:B63)</f>
        <v>8</v>
      </c>
      <c r="C52" s="2263"/>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228" t="s">
        <v>294</v>
      </c>
      <c r="B53" s="251" t="s">
        <v>1095</v>
      </c>
      <c r="C53" s="2985" t="s">
        <v>2899</v>
      </c>
      <c r="D53" s="2986" t="s">
        <v>2900</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88" t="s">
        <v>2901</v>
      </c>
      <c r="B54" s="186">
        <v>8</v>
      </c>
      <c r="C54" s="1891">
        <v>30</v>
      </c>
      <c r="D54" s="2987"/>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88" t="s">
        <v>2902</v>
      </c>
      <c r="B55" s="186"/>
      <c r="C55" s="1891">
        <v>24</v>
      </c>
      <c r="D55" s="2987"/>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88" t="s">
        <v>2903</v>
      </c>
      <c r="B56" s="186"/>
      <c r="C56" s="1891">
        <v>18</v>
      </c>
      <c r="D56" s="2987"/>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88" t="s">
        <v>2904</v>
      </c>
      <c r="B57" s="186"/>
      <c r="C57" s="1891">
        <v>12</v>
      </c>
      <c r="D57" s="2987"/>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88" t="s">
        <v>2905</v>
      </c>
      <c r="B58" s="186"/>
      <c r="C58" s="1891">
        <v>3</v>
      </c>
      <c r="D58" s="2987"/>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88" t="s">
        <v>2906</v>
      </c>
      <c r="B59" s="186"/>
      <c r="C59" s="1891">
        <v>1.5</v>
      </c>
      <c r="D59" s="2987"/>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88" t="s">
        <v>2907</v>
      </c>
      <c r="B60" s="186"/>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88" t="s">
        <v>2908</v>
      </c>
      <c r="B61" s="186"/>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88" t="s">
        <v>2909</v>
      </c>
      <c r="B62" s="186"/>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9" t="s">
        <v>2910</v>
      </c>
      <c r="B63" s="252"/>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253"/>
      <c r="D64" s="1896"/>
      <c r="K64" s="57"/>
      <c r="L64" s="57"/>
    </row>
    <row r="65" spans="1:12" s="1895" customFormat="1">
      <c r="A65" s="253"/>
      <c r="D65" s="1896"/>
      <c r="K65" s="57"/>
      <c r="L65" s="57"/>
    </row>
    <row r="66" spans="1:12" s="1895" customFormat="1">
      <c r="A66" s="253"/>
      <c r="D66" s="1896"/>
      <c r="K66" s="57"/>
      <c r="L66" s="57"/>
    </row>
    <row r="67" spans="1:12" s="1895" customFormat="1">
      <c r="A67" s="253"/>
      <c r="D67" s="1896"/>
      <c r="K67" s="57"/>
      <c r="L67" s="57"/>
    </row>
    <row r="68" spans="1:12" s="1895" customFormat="1">
      <c r="A68" s="253"/>
      <c r="D68" s="1896"/>
      <c r="K68" s="57"/>
      <c r="L68" s="57"/>
    </row>
    <row r="69" spans="1:12" s="1895" customFormat="1">
      <c r="A69" s="253"/>
      <c r="D69" s="1896"/>
      <c r="K69" s="57"/>
      <c r="L69" s="57"/>
    </row>
    <row r="70" spans="1:12" s="1895" customFormat="1">
      <c r="A70" s="253"/>
      <c r="D70" s="1896"/>
      <c r="K70" s="57"/>
      <c r="L70" s="57"/>
    </row>
    <row r="71" spans="1:12" s="1895" customFormat="1">
      <c r="A71" s="253"/>
      <c r="D71" s="1896"/>
      <c r="K71" s="57"/>
      <c r="L71" s="57"/>
    </row>
    <row r="72" spans="1:12" s="1895" customFormat="1">
      <c r="A72" s="253"/>
      <c r="D72" s="1896"/>
      <c r="K72" s="57"/>
      <c r="L72" s="57"/>
    </row>
    <row r="73" spans="1:12" s="1895" customFormat="1">
      <c r="A73" s="253"/>
      <c r="D73" s="1896"/>
      <c r="K73" s="57"/>
      <c r="L73" s="57"/>
    </row>
    <row r="74" spans="1:12" s="1895" customFormat="1">
      <c r="A74" s="253"/>
      <c r="D74" s="1896"/>
      <c r="K74" s="57"/>
      <c r="L74" s="57"/>
    </row>
    <row r="75" spans="1:12" s="1895" customFormat="1">
      <c r="A75" s="253"/>
      <c r="D75" s="1896"/>
      <c r="K75" s="57"/>
      <c r="L75" s="57"/>
    </row>
    <row r="76" spans="1:12" s="1895" customFormat="1">
      <c r="A76" s="253"/>
      <c r="D76" s="1896"/>
      <c r="K76" s="57"/>
      <c r="L76" s="57"/>
    </row>
    <row r="77" spans="1:12" s="1895" customFormat="1">
      <c r="A77" s="253"/>
      <c r="D77" s="1896"/>
      <c r="K77" s="57"/>
      <c r="L77" s="57"/>
    </row>
    <row r="78" spans="1:12" s="1895" customFormat="1">
      <c r="A78" s="253"/>
      <c r="D78" s="1896"/>
      <c r="K78" s="57"/>
      <c r="L78" s="57"/>
    </row>
    <row r="79" spans="1:12" s="1895" customFormat="1">
      <c r="A79" s="253"/>
      <c r="D79" s="1896"/>
      <c r="K79" s="57"/>
      <c r="L79" s="57"/>
    </row>
    <row r="80" spans="1:12" s="1895" customFormat="1">
      <c r="A80" s="253"/>
      <c r="D80" s="1896"/>
      <c r="K80" s="57"/>
      <c r="L80" s="57"/>
    </row>
    <row r="81" spans="1:12" s="1895" customFormat="1">
      <c r="A81" s="253"/>
      <c r="D81" s="1896"/>
      <c r="K81" s="57"/>
      <c r="L81" s="57"/>
    </row>
    <row r="82" spans="1:12" s="1895" customFormat="1">
      <c r="A82" s="253"/>
      <c r="D82" s="1896"/>
      <c r="K82" s="57"/>
      <c r="L82" s="57"/>
    </row>
    <row r="83" spans="1:12" s="1895" customFormat="1">
      <c r="A83" s="253"/>
      <c r="D83" s="1896"/>
      <c r="K83" s="57"/>
      <c r="L83" s="57"/>
    </row>
    <row r="84" spans="1:12" s="1895" customFormat="1">
      <c r="A84" s="253"/>
      <c r="D84" s="1896"/>
      <c r="K84" s="57"/>
      <c r="L84" s="57"/>
    </row>
    <row r="85" spans="1:12" s="1895" customFormat="1">
      <c r="A85" s="253"/>
      <c r="D85" s="1896"/>
      <c r="K85" s="57"/>
      <c r="L85" s="57"/>
    </row>
    <row r="86" spans="1:12" s="1895" customFormat="1">
      <c r="A86" s="253"/>
      <c r="D86" s="1896"/>
      <c r="K86" s="57"/>
      <c r="L86" s="57"/>
    </row>
    <row r="87" spans="1:12" s="1895" customFormat="1">
      <c r="A87" s="253"/>
      <c r="D87" s="1896"/>
      <c r="K87" s="57"/>
      <c r="L87" s="57"/>
    </row>
    <row r="88" spans="1:12" s="1895" customFormat="1">
      <c r="A88" s="253"/>
      <c r="D88" s="1896"/>
      <c r="K88" s="57"/>
      <c r="L88" s="57"/>
    </row>
    <row r="89" spans="1:12" s="1895" customFormat="1">
      <c r="A89" s="253"/>
      <c r="D89" s="1896"/>
      <c r="K89" s="57"/>
      <c r="L89" s="57"/>
    </row>
    <row r="90" spans="1:12" s="1895" customFormat="1">
      <c r="A90" s="253"/>
      <c r="D90" s="1896"/>
      <c r="K90" s="57"/>
      <c r="L90" s="57"/>
    </row>
    <row r="91" spans="1:12" s="1895" customFormat="1">
      <c r="A91" s="253"/>
      <c r="D91" s="1896"/>
      <c r="K91" s="57"/>
      <c r="L91" s="57"/>
    </row>
    <row r="92" spans="1:12" s="1895" customFormat="1">
      <c r="A92" s="253"/>
      <c r="D92" s="1896"/>
      <c r="K92" s="57"/>
      <c r="L92" s="57"/>
    </row>
    <row r="93" spans="1:12" s="1895" customFormat="1">
      <c r="A93" s="253"/>
      <c r="D93" s="1896"/>
      <c r="K93" s="57"/>
      <c r="L93" s="57"/>
    </row>
    <row r="94" spans="1:12" s="1895" customFormat="1">
      <c r="A94" s="253"/>
      <c r="D94" s="1896"/>
      <c r="K94" s="57"/>
      <c r="L94" s="57"/>
    </row>
    <row r="95" spans="1:12" s="1895" customFormat="1">
      <c r="A95" s="253"/>
      <c r="D95" s="1896"/>
      <c r="K95" s="57"/>
      <c r="L95" s="57"/>
    </row>
    <row r="96" spans="1:12" s="1895" customFormat="1">
      <c r="A96" s="253"/>
      <c r="D96" s="1896"/>
      <c r="K96" s="57"/>
      <c r="L96" s="57"/>
    </row>
    <row r="97" spans="1:12" s="1895" customFormat="1">
      <c r="A97" s="253"/>
      <c r="D97" s="1896"/>
      <c r="K97" s="57"/>
      <c r="L97" s="57"/>
    </row>
    <row r="98" spans="1:12" s="1895" customFormat="1">
      <c r="A98" s="253"/>
      <c r="D98" s="1896"/>
      <c r="K98" s="57"/>
      <c r="L98" s="57"/>
    </row>
    <row r="99" spans="1:12" s="1895" customFormat="1">
      <c r="A99" s="253"/>
      <c r="D99" s="1896"/>
      <c r="K99" s="57"/>
      <c r="L99" s="57"/>
    </row>
    <row r="100" spans="1:12" s="1895" customFormat="1">
      <c r="A100" s="253"/>
      <c r="D100" s="1896"/>
      <c r="K100" s="57"/>
      <c r="L100" s="57"/>
    </row>
    <row r="101" spans="1:12" s="1895" customFormat="1">
      <c r="A101" s="253"/>
      <c r="D101" s="1896"/>
      <c r="K101" s="57"/>
      <c r="L101" s="57"/>
    </row>
    <row r="102" spans="1:12" s="1895" customFormat="1">
      <c r="A102" s="253"/>
      <c r="D102" s="1896"/>
      <c r="K102" s="57"/>
      <c r="L102" s="57"/>
    </row>
    <row r="103" spans="1:12" s="1895" customFormat="1">
      <c r="A103" s="253"/>
      <c r="D103" s="1896"/>
      <c r="K103" s="57"/>
      <c r="L103" s="57"/>
    </row>
    <row r="104" spans="1:12" s="1895" customFormat="1">
      <c r="A104" s="253"/>
      <c r="D104" s="1896"/>
      <c r="K104" s="57"/>
      <c r="L104" s="57"/>
    </row>
    <row r="105" spans="1:12" s="1895" customFormat="1">
      <c r="A105" s="253"/>
      <c r="D105" s="1896"/>
      <c r="K105" s="57"/>
      <c r="L105" s="57"/>
    </row>
    <row r="106" spans="1:12" s="1895" customFormat="1">
      <c r="A106" s="253"/>
      <c r="D106" s="1896"/>
      <c r="K106" s="57"/>
      <c r="L106" s="57"/>
    </row>
    <row r="107" spans="1:12" s="1895" customFormat="1">
      <c r="A107" s="253"/>
      <c r="D107" s="1896"/>
      <c r="K107" s="57"/>
      <c r="L107" s="57"/>
    </row>
    <row r="108" spans="1:12" s="1895" customFormat="1">
      <c r="A108" s="253"/>
      <c r="D108" s="1896"/>
      <c r="K108" s="57"/>
      <c r="L108" s="57"/>
    </row>
    <row r="109" spans="1:12" s="1895" customFormat="1">
      <c r="A109" s="253"/>
      <c r="D109" s="1896"/>
      <c r="K109" s="57"/>
      <c r="L109" s="57"/>
    </row>
    <row r="110" spans="1:12" s="1895" customFormat="1">
      <c r="A110" s="253"/>
      <c r="D110" s="1896"/>
      <c r="K110" s="57"/>
      <c r="L110" s="57"/>
    </row>
    <row r="111" spans="1:12" s="1895" customFormat="1">
      <c r="A111" s="253"/>
      <c r="D111" s="1896"/>
      <c r="K111" s="57"/>
      <c r="L111" s="57"/>
    </row>
    <row r="112" spans="1:12" s="1895" customFormat="1">
      <c r="A112" s="253"/>
      <c r="D112" s="1896"/>
      <c r="K112" s="57"/>
      <c r="L112" s="57"/>
    </row>
    <row r="113" spans="1:12" s="1895" customFormat="1">
      <c r="A113" s="253"/>
      <c r="D113" s="1896"/>
      <c r="K113" s="57"/>
      <c r="L113" s="57"/>
    </row>
    <row r="114" spans="1:12" s="1895" customFormat="1">
      <c r="A114" s="253"/>
      <c r="D114" s="1896"/>
      <c r="K114" s="57"/>
      <c r="L114" s="57"/>
    </row>
    <row r="115" spans="1:12" s="1895" customFormat="1">
      <c r="A115" s="253"/>
      <c r="D115" s="1896"/>
      <c r="K115" s="57"/>
      <c r="L115" s="57"/>
    </row>
    <row r="116" spans="1:12" s="1895" customFormat="1">
      <c r="A116" s="253"/>
      <c r="D116" s="1896"/>
      <c r="K116" s="57"/>
      <c r="L116" s="57"/>
    </row>
    <row r="117" spans="1:12" s="1895" customFormat="1">
      <c r="A117" s="253"/>
      <c r="D117" s="1896"/>
      <c r="K117" s="57"/>
      <c r="L117" s="57"/>
    </row>
    <row r="118" spans="1:12" s="1895" customFormat="1">
      <c r="A118" s="253"/>
      <c r="D118" s="1896"/>
      <c r="K118" s="57"/>
      <c r="L118" s="57"/>
    </row>
    <row r="119" spans="1:12" s="1895" customFormat="1">
      <c r="A119" s="253"/>
      <c r="D119" s="1896"/>
      <c r="K119" s="57"/>
      <c r="L119" s="57"/>
    </row>
    <row r="120" spans="1:12" s="1895" customFormat="1">
      <c r="A120" s="253"/>
      <c r="D120" s="1896"/>
      <c r="K120" s="57"/>
      <c r="L120" s="57"/>
    </row>
    <row r="121" spans="1:12" s="1895" customFormat="1">
      <c r="A121" s="253"/>
      <c r="D121" s="1896"/>
      <c r="K121" s="57"/>
      <c r="L121" s="57"/>
    </row>
    <row r="122" spans="1:12" s="1895" customFormat="1">
      <c r="A122" s="253"/>
      <c r="D122" s="1896"/>
      <c r="K122" s="57"/>
      <c r="L122" s="57"/>
    </row>
    <row r="123" spans="1:12" s="1895" customFormat="1">
      <c r="A123" s="253"/>
      <c r="D123" s="1896"/>
      <c r="K123" s="57"/>
      <c r="L123" s="57"/>
    </row>
    <row r="124" spans="1:12" s="1895" customFormat="1">
      <c r="A124" s="253"/>
      <c r="D124" s="1896"/>
      <c r="K124" s="57"/>
      <c r="L124" s="57"/>
    </row>
    <row r="125" spans="1:12" s="1895" customFormat="1">
      <c r="A125" s="253"/>
      <c r="D125" s="1896"/>
      <c r="K125" s="57"/>
      <c r="L125" s="57"/>
    </row>
    <row r="126" spans="1:12" s="1895" customFormat="1">
      <c r="A126" s="253"/>
      <c r="D126" s="1896"/>
      <c r="K126" s="57"/>
      <c r="L126" s="57"/>
    </row>
    <row r="127" spans="1:12" s="1895" customFormat="1">
      <c r="A127" s="253"/>
      <c r="D127" s="1896"/>
      <c r="K127" s="57"/>
      <c r="L127" s="57"/>
    </row>
    <row r="128" spans="1:12" s="1895" customFormat="1">
      <c r="A128" s="253"/>
      <c r="D128" s="1896"/>
      <c r="K128" s="57"/>
      <c r="L128" s="57"/>
    </row>
    <row r="129" spans="1:12" s="1895" customFormat="1">
      <c r="A129" s="253"/>
      <c r="D129" s="1896"/>
      <c r="K129" s="57"/>
      <c r="L129" s="57"/>
    </row>
    <row r="130" spans="1:12" s="1895" customFormat="1">
      <c r="A130" s="253"/>
      <c r="D130" s="1896"/>
      <c r="K130" s="57"/>
      <c r="L130" s="57"/>
    </row>
    <row r="131" spans="1:12" s="1895" customFormat="1">
      <c r="A131" s="253"/>
      <c r="D131" s="1896"/>
      <c r="K131" s="57"/>
      <c r="L131" s="57"/>
    </row>
    <row r="132" spans="1:12" s="1895" customFormat="1">
      <c r="A132" s="253"/>
      <c r="D132" s="1896"/>
      <c r="K132" s="57"/>
      <c r="L132" s="57"/>
    </row>
    <row r="133" spans="1:12" s="1895" customFormat="1">
      <c r="A133" s="253"/>
      <c r="D133" s="1896"/>
      <c r="K133" s="57"/>
      <c r="L133" s="57"/>
    </row>
    <row r="134" spans="1:12" s="1895" customFormat="1">
      <c r="A134" s="253"/>
      <c r="D134" s="1896"/>
      <c r="K134" s="57"/>
      <c r="L134" s="57"/>
    </row>
    <row r="135" spans="1:12" s="1895" customFormat="1">
      <c r="A135" s="253"/>
      <c r="D135" s="1896"/>
      <c r="K135" s="57"/>
      <c r="L135" s="57"/>
    </row>
    <row r="136" spans="1:12" s="1895" customFormat="1">
      <c r="A136" s="253"/>
      <c r="D136" s="1896"/>
      <c r="K136" s="57"/>
      <c r="L136" s="57"/>
    </row>
    <row r="137" spans="1:12" s="1895" customFormat="1">
      <c r="A137" s="253"/>
      <c r="D137" s="1896"/>
      <c r="K137" s="57"/>
      <c r="L137" s="57"/>
    </row>
    <row r="138" spans="1:12" s="1895" customFormat="1">
      <c r="A138" s="253"/>
      <c r="D138" s="1896"/>
      <c r="K138" s="57"/>
      <c r="L138" s="57"/>
    </row>
    <row r="139" spans="1:12" s="1895" customFormat="1">
      <c r="A139" s="253"/>
      <c r="D139" s="1896"/>
      <c r="K139" s="57"/>
      <c r="L139" s="57"/>
    </row>
    <row r="140" spans="1:12" s="1895" customFormat="1">
      <c r="A140" s="253"/>
      <c r="D140" s="1896"/>
      <c r="K140" s="57"/>
      <c r="L140" s="57"/>
    </row>
    <row r="141" spans="1:12" s="1895" customFormat="1">
      <c r="A141" s="253"/>
      <c r="D141" s="1896"/>
      <c r="K141" s="57"/>
      <c r="L141" s="57"/>
    </row>
    <row r="142" spans="1:12" s="1895" customFormat="1">
      <c r="A142" s="253"/>
      <c r="D142" s="1896"/>
      <c r="K142" s="57"/>
      <c r="L142" s="57"/>
    </row>
    <row r="143" spans="1:12" s="1895" customFormat="1">
      <c r="A143" s="253"/>
      <c r="D143" s="1896"/>
      <c r="K143" s="57"/>
      <c r="L143" s="57"/>
    </row>
    <row r="144" spans="1:12" s="1895" customFormat="1">
      <c r="A144" s="253"/>
      <c r="D144" s="1896"/>
      <c r="K144" s="57"/>
      <c r="L144" s="57"/>
    </row>
    <row r="145" spans="1:12" s="1895" customFormat="1">
      <c r="A145" s="253"/>
      <c r="D145" s="1896"/>
      <c r="K145" s="57"/>
      <c r="L145" s="57"/>
    </row>
    <row r="146" spans="1:12" s="1895" customFormat="1">
      <c r="A146" s="253"/>
      <c r="D146" s="1896"/>
      <c r="K146" s="57"/>
      <c r="L146" s="57"/>
    </row>
    <row r="147" spans="1:12" s="1895" customFormat="1">
      <c r="A147" s="253"/>
      <c r="D147" s="1896"/>
      <c r="K147" s="57"/>
      <c r="L147" s="57"/>
    </row>
    <row r="148" spans="1:12" s="1895" customFormat="1">
      <c r="A148" s="253"/>
      <c r="D148" s="1896"/>
      <c r="K148" s="57"/>
      <c r="L148" s="57"/>
    </row>
    <row r="149" spans="1:12" s="1895" customFormat="1">
      <c r="A149" s="253"/>
      <c r="D149" s="1896"/>
      <c r="K149" s="57"/>
      <c r="L149" s="57"/>
    </row>
    <row r="150" spans="1:12" s="1895" customFormat="1">
      <c r="A150" s="253"/>
      <c r="D150" s="1896"/>
      <c r="K150" s="57"/>
      <c r="L150" s="57"/>
    </row>
    <row r="151" spans="1:12" s="1895" customFormat="1">
      <c r="A151" s="253"/>
      <c r="D151" s="1896"/>
      <c r="K151" s="57"/>
      <c r="L151" s="57"/>
    </row>
    <row r="152" spans="1:12" s="1895" customFormat="1">
      <c r="A152" s="253"/>
      <c r="D152" s="1896"/>
      <c r="K152" s="57"/>
      <c r="L152" s="57"/>
    </row>
    <row r="153" spans="1:12" s="1895" customFormat="1">
      <c r="A153" s="253"/>
      <c r="D153" s="1896"/>
      <c r="K153" s="57"/>
      <c r="L153" s="57"/>
    </row>
    <row r="154" spans="1:12" s="1895" customFormat="1">
      <c r="A154" s="253"/>
      <c r="D154" s="1896"/>
      <c r="K154" s="57"/>
      <c r="L154" s="57"/>
    </row>
    <row r="155" spans="1:12" s="1895" customFormat="1">
      <c r="A155" s="253"/>
      <c r="D155" s="1896"/>
      <c r="K155" s="57"/>
      <c r="L155" s="57"/>
    </row>
    <row r="156" spans="1:12" s="1895" customFormat="1">
      <c r="A156" s="253"/>
      <c r="D156" s="1896"/>
      <c r="K156" s="57"/>
      <c r="L156" s="57"/>
    </row>
    <row r="157" spans="1:12" s="1895" customFormat="1">
      <c r="A157" s="253"/>
      <c r="D157" s="1896"/>
      <c r="K157" s="57"/>
      <c r="L157" s="57"/>
    </row>
    <row r="158" spans="1:12" s="1895" customFormat="1">
      <c r="A158" s="253"/>
      <c r="D158" s="1896"/>
      <c r="K158" s="57"/>
      <c r="L158" s="57"/>
    </row>
    <row r="159" spans="1:12" s="1895" customFormat="1">
      <c r="A159" s="253"/>
      <c r="D159" s="1896"/>
      <c r="K159" s="57"/>
      <c r="L159" s="57"/>
    </row>
    <row r="160" spans="1:12" s="1895" customFormat="1">
      <c r="A160" s="253"/>
      <c r="D160" s="1896"/>
      <c r="K160" s="57"/>
      <c r="L160" s="57"/>
    </row>
    <row r="161" spans="1:12" s="1895" customFormat="1">
      <c r="A161" s="253"/>
      <c r="D161" s="1896"/>
      <c r="K161" s="57"/>
      <c r="L161" s="57"/>
    </row>
    <row r="162" spans="1:12" s="1895" customFormat="1">
      <c r="A162" s="253"/>
      <c r="D162" s="1896"/>
      <c r="K162" s="57"/>
      <c r="L162" s="57"/>
    </row>
    <row r="163" spans="1:12" s="1895" customFormat="1">
      <c r="A163" s="253"/>
      <c r="D163" s="1896"/>
      <c r="K163" s="57"/>
      <c r="L163" s="57"/>
    </row>
    <row r="164" spans="1:12" s="1895" customFormat="1">
      <c r="A164" s="253"/>
      <c r="D164" s="1896"/>
      <c r="K164" s="57"/>
      <c r="L164" s="57"/>
    </row>
    <row r="165" spans="1:12" s="1895" customFormat="1">
      <c r="A165" s="253"/>
      <c r="D165" s="1896"/>
      <c r="K165" s="57"/>
      <c r="L165" s="57"/>
    </row>
    <row r="166" spans="1:12" s="1895" customFormat="1">
      <c r="A166" s="253"/>
      <c r="D166" s="1896"/>
      <c r="K166" s="57"/>
      <c r="L166" s="57"/>
    </row>
    <row r="167" spans="1:12" s="1895" customFormat="1">
      <c r="A167" s="253"/>
      <c r="D167" s="1896"/>
      <c r="K167" s="57"/>
      <c r="L167" s="57"/>
    </row>
    <row r="168" spans="1:12" s="1895" customFormat="1">
      <c r="A168" s="253"/>
      <c r="D168" s="1896"/>
      <c r="K168" s="57"/>
      <c r="L168" s="57"/>
    </row>
    <row r="169" spans="1:12" s="1895" customFormat="1">
      <c r="A169" s="253"/>
      <c r="D169" s="1896"/>
      <c r="K169" s="57"/>
      <c r="L169" s="57"/>
    </row>
    <row r="170" spans="1:12" s="1895" customFormat="1">
      <c r="A170" s="253"/>
      <c r="D170" s="1896"/>
      <c r="K170" s="57"/>
      <c r="L170" s="57"/>
    </row>
    <row r="171" spans="1:12" s="1895" customFormat="1">
      <c r="A171" s="253"/>
      <c r="D171" s="1896"/>
      <c r="K171" s="57"/>
      <c r="L171" s="57"/>
    </row>
    <row r="172" spans="1:12" s="1895" customFormat="1">
      <c r="A172" s="253"/>
      <c r="D172" s="1896"/>
      <c r="K172" s="57"/>
      <c r="L172" s="57"/>
    </row>
    <row r="173" spans="1:12" s="1895" customFormat="1">
      <c r="A173" s="253"/>
      <c r="D173" s="1896"/>
      <c r="K173" s="57"/>
      <c r="L173" s="57"/>
    </row>
    <row r="174" spans="1:12" s="1895" customFormat="1">
      <c r="A174" s="253"/>
      <c r="D174" s="1896"/>
      <c r="K174" s="57"/>
      <c r="L174" s="57"/>
    </row>
    <row r="175" spans="1:12" s="1895" customFormat="1">
      <c r="A175" s="253"/>
      <c r="D175" s="1896"/>
      <c r="K175" s="57"/>
      <c r="L175" s="57"/>
    </row>
    <row r="176" spans="1:12" s="1895" customFormat="1">
      <c r="A176" s="253"/>
      <c r="D176" s="1896"/>
      <c r="K176" s="57"/>
      <c r="L176" s="57"/>
    </row>
    <row r="177" spans="1:12" s="1895" customFormat="1">
      <c r="A177" s="253"/>
      <c r="D177" s="1896"/>
      <c r="K177" s="57"/>
      <c r="L177" s="57"/>
    </row>
    <row r="178" spans="1:12" s="1895" customFormat="1">
      <c r="A178" s="253"/>
      <c r="D178" s="1896"/>
      <c r="K178" s="57"/>
      <c r="L178" s="57"/>
    </row>
    <row r="179" spans="1:12" s="1895" customFormat="1">
      <c r="A179" s="253"/>
      <c r="D179" s="1896"/>
      <c r="K179" s="57"/>
      <c r="L179" s="57"/>
    </row>
    <row r="180" spans="1:12" s="1895" customFormat="1">
      <c r="A180" s="253"/>
      <c r="D180" s="1896"/>
      <c r="K180" s="57"/>
      <c r="L180" s="57"/>
    </row>
    <row r="181" spans="1:12" s="1895" customFormat="1">
      <c r="A181" s="253"/>
      <c r="D181" s="1896"/>
      <c r="K181" s="57"/>
      <c r="L181" s="57"/>
    </row>
    <row r="182" spans="1:12" s="1895" customFormat="1">
      <c r="A182" s="253"/>
      <c r="D182" s="1896"/>
      <c r="K182" s="57"/>
      <c r="L182" s="57"/>
    </row>
    <row r="183" spans="1:12" s="1895" customFormat="1">
      <c r="A183" s="253"/>
      <c r="D183" s="1896"/>
      <c r="K183" s="57"/>
      <c r="L183" s="57"/>
    </row>
    <row r="184" spans="1:12" s="1895" customFormat="1">
      <c r="A184" s="253"/>
      <c r="D184" s="1896"/>
      <c r="K184" s="57"/>
      <c r="L184" s="57"/>
    </row>
    <row r="185" spans="1:12" s="1895" customFormat="1">
      <c r="A185" s="253"/>
      <c r="D185" s="1896"/>
      <c r="K185" s="57"/>
      <c r="L185" s="57"/>
    </row>
    <row r="186" spans="1:12" s="1895" customFormat="1">
      <c r="A186" s="253"/>
      <c r="D186" s="1896"/>
      <c r="K186" s="57"/>
      <c r="L186" s="57"/>
    </row>
    <row r="187" spans="1:12" s="1895" customFormat="1">
      <c r="A187" s="253"/>
      <c r="D187" s="1896"/>
      <c r="K187" s="57"/>
      <c r="L187" s="57"/>
    </row>
    <row r="188" spans="1:12" s="1895" customFormat="1">
      <c r="A188" s="253"/>
      <c r="D188" s="1896"/>
      <c r="K188" s="57"/>
      <c r="L188" s="57"/>
    </row>
    <row r="189" spans="1:12" s="1895" customFormat="1">
      <c r="A189" s="253"/>
      <c r="D189" s="1896"/>
      <c r="K189" s="57"/>
      <c r="L189" s="57"/>
    </row>
    <row r="190" spans="1:12" s="1895" customFormat="1">
      <c r="A190" s="253"/>
      <c r="D190" s="1896"/>
      <c r="K190" s="57"/>
      <c r="L190" s="57"/>
    </row>
    <row r="191" spans="1:12" s="1895" customFormat="1">
      <c r="A191" s="253"/>
      <c r="D191" s="1896"/>
      <c r="K191" s="57"/>
      <c r="L191" s="57"/>
    </row>
    <row r="192" spans="1:12" s="1895" customFormat="1">
      <c r="A192" s="253"/>
      <c r="D192" s="18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455" t="s">
        <v>1662</v>
      </c>
      <c r="B1" s="3456"/>
      <c r="C1" s="3456"/>
      <c r="D1" s="3456"/>
      <c r="E1" s="3456"/>
      <c r="F1" s="3456"/>
      <c r="G1" s="3456"/>
      <c r="H1" s="1899"/>
      <c r="I1" s="1900"/>
      <c r="J1" s="1901"/>
      <c r="K1" s="1899"/>
      <c r="L1" s="1900"/>
      <c r="M1" s="1901"/>
      <c r="N1" s="1899"/>
      <c r="O1" s="1900"/>
      <c r="P1" s="1901"/>
      <c r="Q1" s="1902"/>
      <c r="R1" s="1903"/>
    </row>
    <row r="2" spans="1:18" ht="14.25" thickBot="1">
      <c r="A2" s="1221"/>
      <c r="B2" s="1222"/>
      <c r="C2" s="1223" t="s">
        <v>1663</v>
      </c>
      <c r="D2" s="1224"/>
      <c r="E2" s="1225"/>
      <c r="F2" s="1226"/>
      <c r="G2" s="1223" t="s">
        <v>1664</v>
      </c>
      <c r="H2" s="1905"/>
      <c r="I2" s="1905"/>
      <c r="J2" s="1905"/>
      <c r="K2" s="1905"/>
      <c r="L2" s="1905"/>
      <c r="M2" s="1905"/>
      <c r="N2" s="1905"/>
      <c r="O2" s="1905"/>
      <c r="P2" s="1905"/>
      <c r="Q2" s="1905"/>
      <c r="R2" s="1905"/>
    </row>
    <row r="3" spans="1:18" ht="27">
      <c r="A3" s="1227" t="s">
        <v>1665</v>
      </c>
      <c r="B3" s="1228" t="s">
        <v>1652</v>
      </c>
      <c r="C3" s="2990"/>
      <c r="D3" s="1906"/>
      <c r="E3" s="1229" t="s">
        <v>1665</v>
      </c>
      <c r="F3" s="1230" t="s">
        <v>1653</v>
      </c>
      <c r="G3" s="2994"/>
      <c r="H3" s="1905"/>
      <c r="I3" s="1905"/>
      <c r="J3" s="1905"/>
      <c r="K3" s="1905"/>
      <c r="L3" s="1905"/>
      <c r="M3" s="1905"/>
      <c r="N3" s="1905"/>
      <c r="O3" s="1905"/>
      <c r="P3" s="1905"/>
      <c r="Q3" s="1905"/>
      <c r="R3" s="1905"/>
    </row>
    <row r="4" spans="1:18" ht="14.25">
      <c r="A4" s="1229"/>
      <c r="B4" s="1231" t="s">
        <v>1666</v>
      </c>
      <c r="C4" s="2991"/>
      <c r="D4" s="1906"/>
      <c r="E4" s="1232"/>
      <c r="F4" s="1233" t="s">
        <v>1667</v>
      </c>
      <c r="G4" s="2992"/>
      <c r="H4" s="1905"/>
      <c r="I4" s="1905"/>
      <c r="J4" s="1905"/>
      <c r="K4" s="1905"/>
      <c r="L4" s="1905"/>
      <c r="M4" s="1905"/>
      <c r="N4" s="1905"/>
      <c r="O4" s="1905"/>
      <c r="P4" s="1905"/>
      <c r="Q4" s="1905"/>
      <c r="R4" s="1905"/>
    </row>
    <row r="5" spans="1:18" ht="14.25">
      <c r="A5" s="1229"/>
      <c r="B5" s="1231" t="s">
        <v>1668</v>
      </c>
      <c r="C5" s="2991"/>
      <c r="D5" s="1906"/>
      <c r="E5" s="1232"/>
      <c r="F5" s="1231" t="s">
        <v>2543</v>
      </c>
      <c r="G5" s="2992"/>
      <c r="H5" s="1905"/>
      <c r="I5" s="1905"/>
      <c r="J5" s="1905"/>
      <c r="K5" s="1905"/>
      <c r="L5" s="1905"/>
      <c r="M5" s="1905"/>
      <c r="N5" s="1905"/>
      <c r="O5" s="1905"/>
      <c r="P5" s="1905"/>
      <c r="Q5" s="1905"/>
      <c r="R5" s="1905"/>
    </row>
    <row r="6" spans="1:18" ht="14.25">
      <c r="A6" s="1229"/>
      <c r="B6" s="1231" t="s">
        <v>1654</v>
      </c>
      <c r="C6" s="2992"/>
      <c r="D6" s="1906"/>
      <c r="E6" s="1232"/>
      <c r="F6" s="1231" t="s">
        <v>2544</v>
      </c>
      <c r="G6" s="2992"/>
      <c r="H6" s="1905"/>
      <c r="I6" s="1905"/>
      <c r="J6" s="1905"/>
      <c r="K6" s="1905"/>
      <c r="L6" s="1905"/>
      <c r="M6" s="1905"/>
      <c r="N6" s="1905"/>
      <c r="O6" s="1905"/>
      <c r="P6" s="1905"/>
      <c r="Q6" s="1905"/>
      <c r="R6" s="1905"/>
    </row>
    <row r="7" spans="1:18" ht="15" thickBot="1">
      <c r="A7" s="1229"/>
      <c r="B7" s="1231" t="s">
        <v>2543</v>
      </c>
      <c r="C7" s="2992"/>
      <c r="D7" s="1907"/>
      <c r="E7" s="1234"/>
      <c r="F7" s="1235" t="s">
        <v>1669</v>
      </c>
      <c r="G7" s="2995"/>
      <c r="H7" s="1905"/>
      <c r="I7" s="1905"/>
      <c r="J7" s="1905"/>
      <c r="K7" s="1905"/>
      <c r="L7" s="1905"/>
      <c r="M7" s="1905"/>
      <c r="N7" s="1905"/>
      <c r="O7" s="1905"/>
      <c r="P7" s="1905"/>
      <c r="Q7" s="1905"/>
      <c r="R7" s="1905"/>
    </row>
    <row r="8" spans="1:18" ht="14.25">
      <c r="A8" s="1229"/>
      <c r="B8" s="1231" t="s">
        <v>2544</v>
      </c>
      <c r="C8" s="2992"/>
      <c r="D8" s="1907"/>
      <c r="E8" s="1907"/>
      <c r="F8" s="1554"/>
      <c r="G8" s="1554"/>
      <c r="H8" s="1905"/>
      <c r="I8" s="1905"/>
      <c r="J8" s="1905"/>
      <c r="K8" s="1905"/>
      <c r="L8" s="1905"/>
      <c r="M8" s="1905"/>
      <c r="N8" s="1905"/>
      <c r="O8" s="1905"/>
      <c r="P8" s="1905"/>
      <c r="Q8" s="1905"/>
      <c r="R8" s="1905"/>
    </row>
    <row r="9" spans="1:18" ht="14.25">
      <c r="A9" s="1229"/>
      <c r="B9" s="1231" t="s">
        <v>1655</v>
      </c>
      <c r="C9" s="2991"/>
      <c r="D9" s="1906"/>
      <c r="E9" s="1907"/>
      <c r="F9" s="1554"/>
      <c r="G9" s="1554"/>
      <c r="H9" s="1905"/>
      <c r="I9" s="1905"/>
      <c r="J9" s="1905"/>
      <c r="K9" s="1905"/>
      <c r="L9" s="1905"/>
      <c r="M9" s="1905"/>
      <c r="N9" s="1905"/>
      <c r="O9" s="1905"/>
      <c r="P9" s="1905"/>
      <c r="Q9" s="1905"/>
      <c r="R9" s="1905"/>
    </row>
    <row r="10" spans="1:18" s="1913" customFormat="1" ht="15" thickBot="1">
      <c r="A10" s="1236"/>
      <c r="B10" s="1237" t="s">
        <v>1670</v>
      </c>
      <c r="C10" s="2993"/>
      <c r="D10" s="1906"/>
      <c r="E10" s="1906"/>
      <c r="F10" s="1554"/>
      <c r="G10" s="1554"/>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96"/>
      <c r="E12" s="1906"/>
      <c r="F12" s="1907"/>
      <c r="G12" s="1909"/>
      <c r="H12" s="1914"/>
      <c r="I12" s="1915"/>
      <c r="J12" s="1914"/>
      <c r="K12" s="1914"/>
      <c r="L12" s="1916"/>
      <c r="M12" s="1914"/>
      <c r="N12" s="1917"/>
      <c r="O12" s="1918"/>
      <c r="P12" s="1919"/>
      <c r="Q12" s="1917"/>
      <c r="R12" s="1903"/>
    </row>
    <row r="13" spans="1:18" ht="19.5" thickBot="1">
      <c r="A13" s="2495" t="s">
        <v>1671</v>
      </c>
      <c r="B13" s="2496"/>
      <c r="C13" s="2496"/>
      <c r="D13" s="1224"/>
      <c r="E13" s="2496"/>
      <c r="F13" s="2496"/>
      <c r="G13" s="2496"/>
    </row>
    <row r="14" spans="1:18" ht="14.25" thickBot="1">
      <c r="A14" s="1238"/>
      <c r="B14" s="1239"/>
      <c r="C14" s="1240" t="s">
        <v>1663</v>
      </c>
      <c r="D14" s="1906"/>
      <c r="E14" s="1241"/>
      <c r="F14" s="1241"/>
      <c r="G14" s="1223" t="s">
        <v>1664</v>
      </c>
    </row>
    <row r="15" spans="1:18" ht="27">
      <c r="A15" s="2506" t="s">
        <v>1656</v>
      </c>
      <c r="B15" s="1242" t="s">
        <v>1652</v>
      </c>
      <c r="C15" s="1243">
        <f>C3</f>
        <v>0</v>
      </c>
      <c r="D15" s="1906"/>
      <c r="E15" s="2503" t="s">
        <v>1657</v>
      </c>
      <c r="F15" s="1242" t="s">
        <v>1672</v>
      </c>
      <c r="G15" s="1244">
        <f>G3</f>
        <v>0</v>
      </c>
    </row>
    <row r="16" spans="1:18">
      <c r="A16" s="2507"/>
      <c r="B16" s="1245" t="s">
        <v>1666</v>
      </c>
      <c r="C16" s="1246">
        <f>C4</f>
        <v>0</v>
      </c>
      <c r="D16" s="1906"/>
      <c r="E16" s="2504"/>
      <c r="F16" s="1247" t="s">
        <v>1667</v>
      </c>
      <c r="G16" s="1005">
        <f>G4</f>
        <v>0</v>
      </c>
    </row>
    <row r="17" spans="1:7" ht="14.25">
      <c r="A17" s="2507"/>
      <c r="B17" s="1245" t="s">
        <v>1668</v>
      </c>
      <c r="C17" s="1246">
        <f>C5</f>
        <v>0</v>
      </c>
      <c r="D17" s="1907"/>
      <c r="E17" s="2504"/>
      <c r="F17" s="1247" t="s">
        <v>1673</v>
      </c>
      <c r="G17" s="2708"/>
    </row>
    <row r="18" spans="1:7">
      <c r="A18" s="2507"/>
      <c r="B18" s="1247" t="s">
        <v>1654</v>
      </c>
      <c r="C18" s="1005">
        <f>C6</f>
        <v>0</v>
      </c>
      <c r="D18" s="1907"/>
      <c r="E18" s="2504"/>
      <c r="F18" s="1247" t="s">
        <v>1669</v>
      </c>
      <c r="G18" s="1005">
        <f>G7</f>
        <v>0</v>
      </c>
    </row>
    <row r="19" spans="1:7" ht="14.25">
      <c r="A19" s="2507"/>
      <c r="B19" s="1247" t="s">
        <v>1658</v>
      </c>
      <c r="C19" s="2708"/>
      <c r="D19" s="1906"/>
      <c r="E19" s="2504"/>
      <c r="F19" s="1231" t="s">
        <v>2543</v>
      </c>
      <c r="G19" s="1005">
        <f>G5</f>
        <v>0</v>
      </c>
    </row>
    <row r="20" spans="1:7">
      <c r="A20" s="2507"/>
      <c r="B20" s="1247" t="s">
        <v>1659</v>
      </c>
      <c r="C20" s="1246">
        <f>C9</f>
        <v>0</v>
      </c>
      <c r="D20" s="1907"/>
      <c r="E20" s="2504"/>
      <c r="F20" s="1231" t="s">
        <v>2544</v>
      </c>
      <c r="G20" s="1005">
        <f>G6</f>
        <v>0</v>
      </c>
    </row>
    <row r="21" spans="1:7" ht="14.25">
      <c r="A21" s="2507"/>
      <c r="B21" s="1231" t="s">
        <v>2543</v>
      </c>
      <c r="C21" s="1005">
        <f>C7</f>
        <v>0</v>
      </c>
      <c r="D21" s="1906"/>
      <c r="E21" s="2504"/>
      <c r="F21" s="1247" t="s">
        <v>1660</v>
      </c>
      <c r="G21" s="2996"/>
    </row>
    <row r="22" spans="1:7" ht="14.25">
      <c r="A22" s="2507"/>
      <c r="B22" s="1231" t="s">
        <v>2544</v>
      </c>
      <c r="C22" s="1005">
        <f>C8</f>
        <v>0</v>
      </c>
      <c r="D22" s="1906"/>
      <c r="E22" s="2504"/>
      <c r="F22" s="1247" t="s">
        <v>1670</v>
      </c>
      <c r="G22" s="2708"/>
    </row>
    <row r="23" spans="1:7" ht="15" thickBot="1">
      <c r="A23" s="2507"/>
      <c r="B23" s="1247" t="s">
        <v>1660</v>
      </c>
      <c r="C23" s="2996"/>
      <c r="E23" s="2505"/>
      <c r="F23" s="1248" t="s">
        <v>1674</v>
      </c>
      <c r="G23" s="2997"/>
    </row>
    <row r="24" spans="1:7" ht="14.25" thickBot="1">
      <c r="A24" s="2508"/>
      <c r="B24" s="1248" t="s">
        <v>1661</v>
      </c>
      <c r="C24" s="12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8" sqref="F28"/>
    </sheetView>
  </sheetViews>
  <sheetFormatPr defaultColWidth="14.625" defaultRowHeight="13.5"/>
  <cols>
    <col min="1" max="1" width="24.375" customWidth="1"/>
  </cols>
  <sheetData>
    <row r="1" spans="1:9" ht="16.5">
      <c r="A1" s="2960" t="s">
        <v>2843</v>
      </c>
      <c r="B1" s="2960">
        <f>SUM(B14:B23)</f>
        <v>288062.59999999998</v>
      </c>
      <c r="C1" s="2961"/>
      <c r="D1" s="2961"/>
      <c r="E1" s="2961"/>
      <c r="F1" s="2961"/>
    </row>
    <row r="2" spans="1:9" ht="16.5">
      <c r="A2" s="2960" t="s">
        <v>2844</v>
      </c>
      <c r="B2" s="2960">
        <f>SUM(C14:C23)</f>
        <v>213109</v>
      </c>
      <c r="C2" s="2961"/>
      <c r="D2" s="2961"/>
      <c r="E2" s="2961"/>
      <c r="F2" s="2961"/>
    </row>
    <row r="3" spans="1:9" ht="16.5">
      <c r="A3" s="2960" t="s">
        <v>2845</v>
      </c>
      <c r="B3" s="2962">
        <f>项目基本情况!D3</f>
        <v>43095</v>
      </c>
      <c r="C3" s="2961"/>
      <c r="D3" s="2961"/>
      <c r="E3" s="2961"/>
      <c r="F3" s="2961"/>
    </row>
    <row r="4" spans="1:9" ht="33">
      <c r="A4" s="2960" t="s">
        <v>2846</v>
      </c>
      <c r="B4" s="2960" t="s">
        <v>2847</v>
      </c>
      <c r="C4" s="2960" t="s">
        <v>2848</v>
      </c>
      <c r="D4" s="2960" t="s">
        <v>2849</v>
      </c>
      <c r="E4" s="2961"/>
      <c r="F4" s="2961"/>
    </row>
    <row r="5" spans="1:9" ht="16.5">
      <c r="A5" s="2960" t="s">
        <v>2850</v>
      </c>
      <c r="B5" s="2960">
        <f ca="1">SUM(D14:D23)</f>
        <v>132547</v>
      </c>
      <c r="C5" s="2960">
        <f ca="1">ROUND(B5*10000/$B$1,0)</f>
        <v>4601</v>
      </c>
      <c r="D5" s="2960">
        <f ca="1">ROUND(B5*10000/$B$2,0)</f>
        <v>6220</v>
      </c>
      <c r="E5" s="2961"/>
      <c r="F5" s="2961"/>
    </row>
    <row r="6" spans="1:9" ht="16.5">
      <c r="A6" s="2960" t="s">
        <v>2851</v>
      </c>
      <c r="B6" s="2960">
        <f ca="1">SUM(G14:G23)</f>
        <v>132547</v>
      </c>
      <c r="C6" s="2960">
        <f t="shared" ref="C6:C8" ca="1" si="0">ROUND(B6*10000/$B$1,0)</f>
        <v>4601</v>
      </c>
      <c r="D6" s="2960">
        <f t="shared" ref="D6:D8" ca="1" si="1">ROUND(B6*10000/$B$2,0)</f>
        <v>6220</v>
      </c>
      <c r="E6" s="2961"/>
      <c r="F6" s="2961"/>
    </row>
    <row r="7" spans="1:9" ht="16.5">
      <c r="A7" s="2960" t="s">
        <v>2852</v>
      </c>
      <c r="B7" s="2960">
        <f>SUM(H14:H23)</f>
        <v>0</v>
      </c>
      <c r="C7" s="2960">
        <f t="shared" si="0"/>
        <v>0</v>
      </c>
      <c r="D7" s="2960">
        <f t="shared" si="1"/>
        <v>0</v>
      </c>
      <c r="E7" s="2961"/>
      <c r="F7" s="2961"/>
    </row>
    <row r="8" spans="1:9" ht="16.5">
      <c r="A8" s="2960" t="s">
        <v>2853</v>
      </c>
      <c r="B8" s="2960">
        <f>SUM(I14:I23)</f>
        <v>0</v>
      </c>
      <c r="C8" s="2960">
        <f t="shared" si="0"/>
        <v>0</v>
      </c>
      <c r="D8" s="2960">
        <f t="shared" si="1"/>
        <v>0</v>
      </c>
      <c r="E8" s="2961"/>
      <c r="F8" s="2961"/>
    </row>
    <row r="9" spans="1:9" ht="16.5">
      <c r="A9" s="2960" t="s">
        <v>2854</v>
      </c>
      <c r="B9" s="2963"/>
      <c r="C9" s="2961"/>
      <c r="D9" s="2961"/>
      <c r="E9" s="2961"/>
      <c r="F9" s="2961"/>
    </row>
    <row r="10" spans="1:9" ht="16.5">
      <c r="A10" s="2960" t="s">
        <v>2855</v>
      </c>
      <c r="B10" s="2963"/>
      <c r="C10" s="2961"/>
      <c r="D10" s="2961"/>
      <c r="E10" s="2961"/>
      <c r="F10" s="2961"/>
    </row>
    <row r="11" spans="1:9" ht="16.5">
      <c r="A11" s="2960" t="s">
        <v>2872</v>
      </c>
      <c r="B11" s="2963"/>
      <c r="C11" s="2961"/>
      <c r="D11" s="2961"/>
      <c r="E11" s="2961"/>
      <c r="F11" s="2961"/>
    </row>
    <row r="12" spans="1:9" ht="16.5">
      <c r="A12" s="2961"/>
      <c r="B12" s="2961"/>
      <c r="C12" s="2961"/>
      <c r="D12" s="2961"/>
      <c r="E12" s="2961"/>
      <c r="F12" s="2961"/>
    </row>
    <row r="13" spans="1:9" ht="33">
      <c r="A13" s="2966" t="s">
        <v>2871</v>
      </c>
      <c r="B13" s="2964" t="s">
        <v>2843</v>
      </c>
      <c r="C13" s="2964" t="s">
        <v>2844</v>
      </c>
      <c r="D13" s="2964" t="s">
        <v>2856</v>
      </c>
      <c r="E13" s="2960" t="s">
        <v>2870</v>
      </c>
      <c r="F13" s="2960" t="s">
        <v>2849</v>
      </c>
      <c r="G13" s="2964" t="s">
        <v>2857</v>
      </c>
      <c r="H13" s="2964" t="s">
        <v>2858</v>
      </c>
      <c r="I13" s="2964" t="s">
        <v>2859</v>
      </c>
    </row>
    <row r="14" spans="1:9" ht="16.5">
      <c r="A14" s="2967" t="s">
        <v>2869</v>
      </c>
      <c r="B14" s="2964">
        <f>结果表!L38</f>
        <v>154292.6</v>
      </c>
      <c r="C14" s="2964">
        <f>结果表!K38</f>
        <v>110209</v>
      </c>
      <c r="D14" s="2964">
        <f ca="1">结果表!C42</f>
        <v>72109</v>
      </c>
      <c r="E14" s="2964">
        <f ca="1">ROUND(D14*10000/B14,0)</f>
        <v>4674</v>
      </c>
      <c r="F14" s="2964">
        <f ca="1">ROUND(D14*10000/C14,0)</f>
        <v>6543</v>
      </c>
      <c r="G14" s="2964">
        <f ca="1">结果表!C44</f>
        <v>72109</v>
      </c>
      <c r="H14" s="2964" t="str">
        <f>结果表!C45</f>
        <v>——</v>
      </c>
      <c r="I14" s="2964" t="str">
        <f>结果表!C46</f>
        <v>——</v>
      </c>
    </row>
    <row r="15" spans="1:9" ht="16.5">
      <c r="A15" s="2967" t="s">
        <v>2860</v>
      </c>
      <c r="B15" s="3322">
        <f>'[2]数据-汇总表'!$E$3</f>
        <v>133770</v>
      </c>
      <c r="C15" s="3322">
        <f>'[2]数据-汇总表'!$D$3</f>
        <v>102900</v>
      </c>
      <c r="D15" s="3322">
        <v>60438</v>
      </c>
      <c r="E15" s="2964">
        <f t="shared" ref="E15:E23" si="2">ROUND(D15*10000/B15,0)</f>
        <v>4518</v>
      </c>
      <c r="F15" s="2964">
        <f t="shared" ref="F15:F23" si="3">ROUND(D15*10000/C15,0)</f>
        <v>5873</v>
      </c>
      <c r="G15" s="3322">
        <f>D15</f>
        <v>60438</v>
      </c>
      <c r="H15" s="3322"/>
      <c r="I15" s="3322"/>
    </row>
    <row r="16" spans="1:9" ht="16.5">
      <c r="A16" s="2967" t="s">
        <v>2861</v>
      </c>
      <c r="B16" s="2968"/>
      <c r="C16" s="2968"/>
      <c r="D16" s="2968"/>
      <c r="E16" s="2964" t="e">
        <f t="shared" si="2"/>
        <v>#DIV/0!</v>
      </c>
      <c r="F16" s="2964" t="e">
        <f t="shared" si="3"/>
        <v>#DIV/0!</v>
      </c>
      <c r="G16" s="2965"/>
      <c r="H16" s="2965"/>
      <c r="I16" s="2968"/>
    </row>
    <row r="17" spans="1:9" ht="16.5">
      <c r="A17" s="2967" t="s">
        <v>2862</v>
      </c>
      <c r="B17" s="2968"/>
      <c r="C17" s="2968"/>
      <c r="D17" s="2968"/>
      <c r="E17" s="2964" t="e">
        <f t="shared" si="2"/>
        <v>#DIV/0!</v>
      </c>
      <c r="F17" s="2964" t="e">
        <f t="shared" si="3"/>
        <v>#DIV/0!</v>
      </c>
      <c r="G17" s="2965"/>
      <c r="H17" s="2965"/>
      <c r="I17" s="2968"/>
    </row>
    <row r="18" spans="1:9" ht="16.5">
      <c r="A18" s="2967" t="s">
        <v>2863</v>
      </c>
      <c r="B18" s="2968"/>
      <c r="C18" s="2968"/>
      <c r="D18" s="2968"/>
      <c r="E18" s="2964" t="e">
        <f t="shared" si="2"/>
        <v>#DIV/0!</v>
      </c>
      <c r="F18" s="2964" t="e">
        <f t="shared" si="3"/>
        <v>#DIV/0!</v>
      </c>
      <c r="G18" s="2968"/>
      <c r="H18" s="2968"/>
      <c r="I18" s="2968"/>
    </row>
    <row r="19" spans="1:9" ht="16.5">
      <c r="A19" s="2967" t="s">
        <v>2864</v>
      </c>
      <c r="B19" s="2968"/>
      <c r="C19" s="2968"/>
      <c r="D19" s="2968"/>
      <c r="E19" s="2964" t="e">
        <f t="shared" si="2"/>
        <v>#DIV/0!</v>
      </c>
      <c r="F19" s="2964" t="e">
        <f t="shared" si="3"/>
        <v>#DIV/0!</v>
      </c>
      <c r="G19" s="2968"/>
      <c r="H19" s="2968"/>
      <c r="I19" s="2968"/>
    </row>
    <row r="20" spans="1:9" ht="16.5">
      <c r="A20" s="2967" t="s">
        <v>2865</v>
      </c>
      <c r="B20" s="2968"/>
      <c r="C20" s="2968"/>
      <c r="D20" s="2968"/>
      <c r="E20" s="2964" t="e">
        <f t="shared" si="2"/>
        <v>#DIV/0!</v>
      </c>
      <c r="F20" s="2964" t="e">
        <f t="shared" si="3"/>
        <v>#DIV/0!</v>
      </c>
      <c r="G20" s="2968"/>
      <c r="H20" s="2968"/>
      <c r="I20" s="2968"/>
    </row>
    <row r="21" spans="1:9" ht="16.5">
      <c r="A21" s="2967" t="s">
        <v>2866</v>
      </c>
      <c r="B21" s="2968"/>
      <c r="C21" s="2968"/>
      <c r="D21" s="2968"/>
      <c r="E21" s="2964" t="e">
        <f t="shared" si="2"/>
        <v>#DIV/0!</v>
      </c>
      <c r="F21" s="2964" t="e">
        <f t="shared" si="3"/>
        <v>#DIV/0!</v>
      </c>
      <c r="G21" s="2968"/>
      <c r="H21" s="2968"/>
      <c r="I21" s="2968"/>
    </row>
    <row r="22" spans="1:9" ht="16.5">
      <c r="A22" s="2967" t="s">
        <v>2867</v>
      </c>
      <c r="B22" s="2968"/>
      <c r="C22" s="2968"/>
      <c r="D22" s="2968"/>
      <c r="E22" s="2964" t="e">
        <f t="shared" si="2"/>
        <v>#DIV/0!</v>
      </c>
      <c r="F22" s="2964" t="e">
        <f t="shared" si="3"/>
        <v>#DIV/0!</v>
      </c>
      <c r="G22" s="2968"/>
      <c r="H22" s="2968"/>
      <c r="I22" s="2968"/>
    </row>
    <row r="23" spans="1:9" ht="16.5">
      <c r="A23" s="2967" t="s">
        <v>2868</v>
      </c>
      <c r="B23" s="2968"/>
      <c r="C23" s="2968"/>
      <c r="D23" s="2968"/>
      <c r="E23" s="2960" t="e">
        <f t="shared" si="2"/>
        <v>#DIV/0!</v>
      </c>
      <c r="F23" s="2960" t="e">
        <f t="shared" si="3"/>
        <v>#DIV/0!</v>
      </c>
      <c r="G23" s="2968"/>
      <c r="H23" s="2968"/>
      <c r="I23" s="29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50" sqref="F5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684" t="s">
        <v>2053</v>
      </c>
      <c r="B1" s="1685"/>
      <c r="C1" s="1709" t="s">
        <v>2054</v>
      </c>
      <c r="D1" s="1710" t="s">
        <v>3213</v>
      </c>
      <c r="E1" s="1709" t="s">
        <v>2055</v>
      </c>
      <c r="F1" s="1711" t="s">
        <v>3214</v>
      </c>
      <c r="G1" s="311"/>
      <c r="H1" s="311"/>
      <c r="I1" s="311"/>
      <c r="J1" s="1926"/>
      <c r="K1" s="1926"/>
      <c r="L1" s="1926"/>
      <c r="M1" s="1926"/>
      <c r="N1" s="1926"/>
      <c r="O1" s="1926"/>
      <c r="P1" s="1926"/>
      <c r="Q1" s="1926"/>
      <c r="R1" s="1926"/>
      <c r="S1" s="1926"/>
      <c r="T1" s="1926"/>
      <c r="U1" s="1926"/>
      <c r="V1" s="1926"/>
    </row>
    <row r="2" spans="1:22" ht="21.75" customHeight="1" thickBot="1">
      <c r="A2" s="3502" t="str">
        <f>项目基本情况!K2</f>
        <v>惠州市广东省惠州市大亚湾经济技术开发区霞涌镇乌山头地段出让国有建设用地使用权</v>
      </c>
      <c r="B2" s="3503"/>
      <c r="C2" s="3504"/>
      <c r="D2" s="3504"/>
      <c r="E2" s="3504"/>
      <c r="F2" s="3504"/>
      <c r="G2" s="3503"/>
      <c r="H2" s="3503"/>
      <c r="I2" s="3505"/>
      <c r="J2" s="1927"/>
      <c r="K2" s="1926"/>
      <c r="L2" s="1926"/>
      <c r="M2" s="1926"/>
      <c r="N2" s="1926"/>
      <c r="O2" s="1926"/>
      <c r="P2" s="1926"/>
      <c r="Q2" s="1926"/>
      <c r="R2" s="1926"/>
      <c r="S2" s="1926"/>
      <c r="T2" s="1926"/>
      <c r="U2" s="1926"/>
      <c r="V2" s="1926"/>
    </row>
    <row r="3" spans="1:22" ht="14.25">
      <c r="A3" s="3513" t="s">
        <v>298</v>
      </c>
      <c r="B3" s="3514"/>
      <c r="C3" s="3514"/>
      <c r="D3" s="3514"/>
      <c r="E3" s="3514"/>
      <c r="F3" s="3514"/>
      <c r="G3" s="3514"/>
      <c r="H3" s="3514"/>
      <c r="I3" s="3514"/>
      <c r="J3" s="1927"/>
      <c r="K3" s="1926"/>
      <c r="L3" s="1926"/>
      <c r="M3" s="1926"/>
      <c r="N3" s="1926"/>
      <c r="O3" s="1926"/>
      <c r="P3" s="1926"/>
      <c r="Q3" s="1926"/>
      <c r="R3" s="1926"/>
      <c r="S3" s="1926"/>
      <c r="T3" s="1926"/>
      <c r="U3" s="1926"/>
      <c r="V3" s="1926"/>
    </row>
    <row r="4" spans="1:22" ht="14.25">
      <c r="A4" s="258" t="s">
        <v>299</v>
      </c>
      <c r="B4" s="259" t="s">
        <v>300</v>
      </c>
      <c r="C4" s="260" t="s">
        <v>3207</v>
      </c>
      <c r="D4" s="260" t="s">
        <v>3208</v>
      </c>
      <c r="E4" s="3477" t="s">
        <v>301</v>
      </c>
      <c r="F4" s="3519"/>
      <c r="G4" s="3519"/>
      <c r="H4" s="3519"/>
      <c r="I4" s="3478"/>
      <c r="J4" s="1927"/>
      <c r="K4" s="1926"/>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1926"/>
      <c r="O4" s="1926"/>
      <c r="P4" s="1926"/>
      <c r="Q4" s="1926"/>
      <c r="R4" s="1926"/>
      <c r="S4" s="1926"/>
      <c r="T4" s="1926"/>
      <c r="U4" s="1926"/>
      <c r="V4" s="1926"/>
    </row>
    <row r="5" spans="1:22" ht="14.25" hidden="1">
      <c r="A5" s="3506" t="s">
        <v>302</v>
      </c>
      <c r="B5" s="3507">
        <v>25</v>
      </c>
      <c r="C5" s="3515"/>
      <c r="D5" s="3518"/>
      <c r="E5" s="261" t="s">
        <v>303</v>
      </c>
      <c r="F5" s="262"/>
      <c r="G5" s="262"/>
      <c r="H5" s="262"/>
      <c r="I5" s="263"/>
      <c r="J5" s="1927"/>
      <c r="K5" s="1926"/>
      <c r="L5" s="1926"/>
      <c r="M5" s="1926"/>
      <c r="N5" s="1926"/>
      <c r="O5" s="1926"/>
      <c r="P5" s="1926"/>
      <c r="Q5" s="1926"/>
      <c r="R5" s="1926"/>
      <c r="S5" s="1926"/>
      <c r="T5" s="1926"/>
      <c r="U5" s="1926"/>
      <c r="V5" s="1926"/>
    </row>
    <row r="6" spans="1:22" ht="14.25" hidden="1">
      <c r="A6" s="3506"/>
      <c r="B6" s="3507"/>
      <c r="C6" s="3516"/>
      <c r="D6" s="3518"/>
      <c r="E6" s="261" t="s">
        <v>304</v>
      </c>
      <c r="F6" s="262"/>
      <c r="G6" s="262"/>
      <c r="H6" s="262"/>
      <c r="I6" s="263"/>
      <c r="J6" s="1927"/>
      <c r="K6" s="1926"/>
      <c r="L6" s="1926"/>
      <c r="M6" s="1926"/>
      <c r="N6" s="1926"/>
      <c r="O6" s="1926"/>
      <c r="P6" s="1926"/>
      <c r="Q6" s="1926"/>
      <c r="R6" s="1926"/>
      <c r="S6" s="1926"/>
      <c r="T6" s="1926"/>
      <c r="U6" s="1926"/>
      <c r="V6" s="1926"/>
    </row>
    <row r="7" spans="1:22" ht="14.25" hidden="1">
      <c r="A7" s="3506"/>
      <c r="B7" s="3507"/>
      <c r="C7" s="3517"/>
      <c r="D7" s="3518"/>
      <c r="E7" s="261" t="s">
        <v>305</v>
      </c>
      <c r="F7" s="262"/>
      <c r="G7" s="262"/>
      <c r="H7" s="262"/>
      <c r="I7" s="263"/>
      <c r="J7" s="1927"/>
      <c r="K7" s="1926"/>
      <c r="L7" s="1926"/>
      <c r="M7" s="1926"/>
      <c r="N7" s="1926"/>
      <c r="O7" s="1926"/>
      <c r="P7" s="1926"/>
      <c r="Q7" s="1926"/>
      <c r="R7" s="1926"/>
      <c r="S7" s="1926"/>
      <c r="T7" s="1926"/>
      <c r="U7" s="1926"/>
      <c r="V7" s="1926"/>
    </row>
    <row r="8" spans="1:22" ht="14.25" hidden="1">
      <c r="A8" s="3506" t="s">
        <v>306</v>
      </c>
      <c r="B8" s="3507">
        <v>15</v>
      </c>
      <c r="C8" s="3515"/>
      <c r="D8" s="3518"/>
      <c r="E8" s="261" t="s">
        <v>307</v>
      </c>
      <c r="F8" s="262"/>
      <c r="G8" s="262"/>
      <c r="H8" s="262"/>
      <c r="I8" s="263"/>
      <c r="J8" s="1927"/>
      <c r="K8" s="1926"/>
      <c r="L8" s="1926"/>
      <c r="M8" s="1926"/>
      <c r="N8" s="1926"/>
      <c r="O8" s="1926"/>
      <c r="P8" s="1926"/>
      <c r="Q8" s="1926"/>
      <c r="R8" s="1926"/>
      <c r="S8" s="1926"/>
      <c r="T8" s="1926"/>
      <c r="U8" s="1926"/>
      <c r="V8" s="1926"/>
    </row>
    <row r="9" spans="1:22" ht="14.25" hidden="1">
      <c r="A9" s="3506"/>
      <c r="B9" s="3507"/>
      <c r="C9" s="3517"/>
      <c r="D9" s="3518"/>
      <c r="E9" s="261" t="s">
        <v>308</v>
      </c>
      <c r="F9" s="262"/>
      <c r="G9" s="262"/>
      <c r="H9" s="262"/>
      <c r="I9" s="263"/>
      <c r="J9" s="1927"/>
      <c r="K9" s="1926"/>
      <c r="L9" s="1926"/>
      <c r="M9" s="1926"/>
      <c r="N9" s="1926"/>
      <c r="O9" s="1926"/>
      <c r="P9" s="1926"/>
      <c r="Q9" s="1926"/>
      <c r="R9" s="1926"/>
      <c r="S9" s="1926"/>
      <c r="T9" s="1926"/>
      <c r="U9" s="1926"/>
      <c r="V9" s="1926"/>
    </row>
    <row r="10" spans="1:22" ht="14.25" hidden="1">
      <c r="A10" s="3506" t="s">
        <v>309</v>
      </c>
      <c r="B10" s="3507">
        <v>15</v>
      </c>
      <c r="C10" s="3515"/>
      <c r="D10" s="3518"/>
      <c r="E10" s="261" t="s">
        <v>310</v>
      </c>
      <c r="F10" s="262"/>
      <c r="G10" s="262"/>
      <c r="H10" s="262"/>
      <c r="I10" s="263"/>
      <c r="J10" s="1927"/>
      <c r="K10" s="1926"/>
      <c r="L10" s="1926"/>
      <c r="M10" s="1926"/>
      <c r="N10" s="1926"/>
      <c r="O10" s="1926"/>
      <c r="P10" s="1926"/>
      <c r="Q10" s="1926"/>
      <c r="R10" s="1926"/>
      <c r="S10" s="1926"/>
      <c r="T10" s="1926"/>
      <c r="U10" s="1926"/>
      <c r="V10" s="1926"/>
    </row>
    <row r="11" spans="1:22" ht="14.25" hidden="1">
      <c r="A11" s="3506"/>
      <c r="B11" s="3507"/>
      <c r="C11" s="3517"/>
      <c r="D11" s="3518"/>
      <c r="E11" s="261" t="s">
        <v>311</v>
      </c>
      <c r="F11" s="262"/>
      <c r="G11" s="262"/>
      <c r="H11" s="262"/>
      <c r="I11" s="263"/>
      <c r="J11" s="1927"/>
      <c r="K11" s="1926"/>
      <c r="L11" s="1926"/>
      <c r="M11" s="1926"/>
      <c r="N11" s="1926"/>
      <c r="O11" s="1926"/>
      <c r="P11" s="1926"/>
      <c r="Q11" s="1926"/>
      <c r="R11" s="1926"/>
      <c r="S11" s="1926"/>
      <c r="T11" s="1926"/>
      <c r="U11" s="1926"/>
      <c r="V11" s="1926"/>
    </row>
    <row r="12" spans="1:22" ht="14.25" hidden="1">
      <c r="A12" s="3506" t="s">
        <v>312</v>
      </c>
      <c r="B12" s="3507">
        <v>15</v>
      </c>
      <c r="C12" s="3515"/>
      <c r="D12" s="3518"/>
      <c r="E12" s="261" t="s">
        <v>313</v>
      </c>
      <c r="F12" s="262"/>
      <c r="G12" s="262"/>
      <c r="H12" s="262"/>
      <c r="I12" s="263"/>
      <c r="J12" s="1927"/>
      <c r="K12" s="1926"/>
      <c r="L12" s="1926"/>
      <c r="M12" s="1926"/>
      <c r="N12" s="1926"/>
      <c r="O12" s="1926"/>
      <c r="P12" s="1926"/>
      <c r="Q12" s="1926"/>
      <c r="R12" s="1926"/>
      <c r="S12" s="1926"/>
      <c r="T12" s="1926"/>
      <c r="U12" s="1926"/>
      <c r="V12" s="1926"/>
    </row>
    <row r="13" spans="1:22" ht="14.25" hidden="1">
      <c r="A13" s="3506"/>
      <c r="B13" s="3507"/>
      <c r="C13" s="3517"/>
      <c r="D13" s="3518"/>
      <c r="E13" s="261" t="s">
        <v>314</v>
      </c>
      <c r="F13" s="262"/>
      <c r="G13" s="262"/>
      <c r="H13" s="262"/>
      <c r="I13" s="263"/>
      <c r="J13" s="1927"/>
      <c r="K13" s="1926"/>
      <c r="L13" s="1926"/>
      <c r="M13" s="1926"/>
      <c r="N13" s="1926"/>
      <c r="O13" s="1926"/>
      <c r="P13" s="1926"/>
      <c r="Q13" s="1926"/>
      <c r="R13" s="1926"/>
      <c r="S13" s="1926"/>
      <c r="T13" s="1926"/>
      <c r="U13" s="1926"/>
      <c r="V13" s="1926"/>
    </row>
    <row r="14" spans="1:22" ht="14.25" hidden="1">
      <c r="A14" s="3506" t="s">
        <v>315</v>
      </c>
      <c r="B14" s="3507">
        <v>30</v>
      </c>
      <c r="C14" s="3515">
        <v>50</v>
      </c>
      <c r="D14" s="3518">
        <f>100-C14</f>
        <v>50</v>
      </c>
      <c r="E14" s="261" t="s">
        <v>316</v>
      </c>
      <c r="F14" s="262"/>
      <c r="G14" s="262"/>
      <c r="H14" s="262"/>
      <c r="I14" s="263"/>
      <c r="J14" s="1927"/>
      <c r="K14" s="1926"/>
      <c r="L14" s="1926"/>
      <c r="M14" s="1926"/>
      <c r="N14" s="1926"/>
      <c r="O14" s="1926"/>
      <c r="P14" s="1926"/>
      <c r="Q14" s="1926"/>
      <c r="R14" s="1926"/>
      <c r="S14" s="1926"/>
      <c r="T14" s="1926"/>
      <c r="U14" s="1926"/>
      <c r="V14" s="1926"/>
    </row>
    <row r="15" spans="1:22" ht="14.25" hidden="1">
      <c r="A15" s="3506"/>
      <c r="B15" s="3507"/>
      <c r="C15" s="3516"/>
      <c r="D15" s="3518"/>
      <c r="E15" s="261" t="s">
        <v>317</v>
      </c>
      <c r="F15" s="262"/>
      <c r="G15" s="262"/>
      <c r="H15" s="262"/>
      <c r="I15" s="263"/>
      <c r="J15" s="1927"/>
      <c r="K15" s="1926"/>
      <c r="L15" s="1926"/>
      <c r="M15" s="1926"/>
      <c r="N15" s="1926"/>
      <c r="O15" s="1926"/>
      <c r="P15" s="1926"/>
      <c r="Q15" s="1926"/>
      <c r="R15" s="1926"/>
      <c r="S15" s="1926"/>
      <c r="T15" s="1926"/>
      <c r="U15" s="1926"/>
      <c r="V15" s="1926"/>
    </row>
    <row r="16" spans="1:22" ht="14.25">
      <c r="A16" s="3506"/>
      <c r="B16" s="3507"/>
      <c r="C16" s="3517"/>
      <c r="D16" s="3518"/>
      <c r="E16" s="261" t="s">
        <v>318</v>
      </c>
      <c r="F16" s="262"/>
      <c r="G16" s="262"/>
      <c r="H16" s="262"/>
      <c r="I16" s="263"/>
      <c r="J16" s="1927"/>
      <c r="K16" s="1926"/>
      <c r="L16" s="1926"/>
      <c r="M16" s="1926"/>
      <c r="N16" s="1926"/>
      <c r="O16" s="1926"/>
      <c r="P16" s="1926"/>
      <c r="Q16" s="1926"/>
      <c r="R16" s="1926"/>
      <c r="S16" s="1926"/>
      <c r="T16" s="1926"/>
      <c r="U16" s="1926"/>
      <c r="V16" s="1926"/>
    </row>
    <row r="17" spans="1:26" ht="15">
      <c r="A17" s="264" t="s">
        <v>319</v>
      </c>
      <c r="B17" s="144"/>
      <c r="C17" s="265">
        <f>SUM(C5:C16)</f>
        <v>50</v>
      </c>
      <c r="D17" s="265">
        <f>SUM(D5:D16)</f>
        <v>50</v>
      </c>
      <c r="E17" s="311"/>
      <c r="F17" s="311"/>
      <c r="G17" s="311"/>
      <c r="H17" s="311"/>
      <c r="I17" s="311"/>
      <c r="J17" s="1927"/>
      <c r="K17" s="1926"/>
      <c r="L17" s="1926"/>
      <c r="M17" s="1926"/>
      <c r="N17" s="1926"/>
      <c r="O17" s="1926"/>
      <c r="P17" s="1926"/>
      <c r="Q17" s="1926"/>
      <c r="R17" s="1926"/>
      <c r="S17" s="1926"/>
      <c r="T17" s="1926"/>
      <c r="U17" s="1926"/>
      <c r="V17" s="1926"/>
    </row>
    <row r="18" spans="1:26" ht="15.75" thickBot="1">
      <c r="A18" s="266" t="s">
        <v>320</v>
      </c>
      <c r="B18" s="105"/>
      <c r="C18" s="267">
        <f>ROUND(C17/SUM(C17:D17),2)</f>
        <v>0.5</v>
      </c>
      <c r="D18" s="267">
        <f>1-C18</f>
        <v>0.5</v>
      </c>
      <c r="E18" s="311"/>
      <c r="F18" s="311"/>
      <c r="G18" s="311"/>
      <c r="H18" s="311"/>
      <c r="I18" s="311"/>
      <c r="J18" s="1926"/>
      <c r="K18" s="1926"/>
      <c r="L18" s="1926"/>
      <c r="M18" s="1926"/>
      <c r="N18" s="1926"/>
      <c r="O18" s="1926"/>
      <c r="P18" s="1926"/>
      <c r="Q18" s="1926"/>
      <c r="R18" s="1926"/>
      <c r="S18" s="1926"/>
      <c r="T18" s="1926"/>
      <c r="U18" s="1926"/>
      <c r="V18" s="1926"/>
    </row>
    <row r="19" spans="1:26" ht="15">
      <c r="A19" s="268" t="s">
        <v>321</v>
      </c>
      <c r="B19" s="269" t="s">
        <v>322</v>
      </c>
      <c r="C19" s="270">
        <f ca="1">SUMIF(INDIRECT("'"&amp;C4&amp;"'"&amp;"!A:A"),结果表!B19,INDIRECT("'"&amp;C4&amp;"'"&amp;"!B:B"))</f>
        <v>71762</v>
      </c>
      <c r="D19" s="271">
        <f ca="1">SUMIF(INDIRECT("'"&amp;D4&amp;"'"&amp;"!A:A"),结果表!B19,INDIRECT("'"&amp;D4&amp;"'"&amp;"!B:B"))</f>
        <v>72456</v>
      </c>
      <c r="E19" s="268" t="s">
        <v>323</v>
      </c>
      <c r="F19" s="269" t="s">
        <v>322</v>
      </c>
      <c r="G19" s="272">
        <f ca="1">ROUND(C19*$C$18+D19*$D$18,0)</f>
        <v>72109</v>
      </c>
      <c r="H19" s="273" t="s">
        <v>324</v>
      </c>
      <c r="I19" s="311"/>
      <c r="J19" s="1926"/>
      <c r="K19" s="1926"/>
      <c r="L19" s="1926"/>
      <c r="M19" s="1926"/>
      <c r="N19" s="1926"/>
      <c r="O19" s="1926"/>
      <c r="P19" s="1926"/>
      <c r="Q19" s="1926"/>
      <c r="R19" s="1926"/>
      <c r="S19" s="1926"/>
      <c r="T19" s="1926"/>
      <c r="U19" s="1926"/>
      <c r="V19" s="1926"/>
    </row>
    <row r="20" spans="1:26" ht="15">
      <c r="A20" s="274"/>
      <c r="B20" s="275" t="s">
        <v>325</v>
      </c>
      <c r="C20" s="276">
        <f ca="1">SUMIF(INDIRECT("'"&amp;C4&amp;"'"&amp;"!A:A"),结果表!B20,INDIRECT("'"&amp;C4&amp;"'"&amp;"!B:B"))</f>
        <v>4651</v>
      </c>
      <c r="D20" s="277">
        <f ca="1">SUMIF(INDIRECT("'"&amp;D4&amp;"'"&amp;"!A:A"),结果表!B20,INDIRECT("'"&amp;D4&amp;"'"&amp;"!B:B"))</f>
        <v>4696</v>
      </c>
      <c r="E20" s="274"/>
      <c r="F20" s="275" t="s">
        <v>325</v>
      </c>
      <c r="G20" s="278">
        <f ca="1">ROUND(C20*$C$18+D20*$D$18,0)</f>
        <v>4674</v>
      </c>
      <c r="H20" s="279" t="s">
        <v>326</v>
      </c>
      <c r="I20" s="311"/>
      <c r="J20" s="1926"/>
      <c r="K20" s="1926"/>
      <c r="L20" s="1926"/>
      <c r="M20" s="1926"/>
      <c r="N20" s="1926"/>
      <c r="O20" s="1926"/>
      <c r="P20" s="1926"/>
      <c r="Q20" s="1926"/>
      <c r="R20" s="1926"/>
      <c r="S20" s="1926"/>
      <c r="T20" s="1926"/>
      <c r="U20" s="1926"/>
      <c r="V20" s="1926"/>
    </row>
    <row r="21" spans="1:26" ht="15" customHeight="1">
      <c r="A21" s="274"/>
      <c r="B21" s="280" t="s">
        <v>327</v>
      </c>
      <c r="C21" s="281">
        <f ca="1">SUMIF(INDIRECT("'"&amp;C4&amp;"'"&amp;"!A:A"),结果表!B21,INDIRECT("'"&amp;C4&amp;"'"&amp;"!B:B"))</f>
        <v>6511</v>
      </c>
      <c r="D21" s="151">
        <f ca="1">SUMIF(INDIRECT("'"&amp;D4&amp;"'"&amp;"!A:A"),结果表!B21,INDIRECT("'"&amp;D4&amp;"'"&amp;"!B:B"))</f>
        <v>6574</v>
      </c>
      <c r="E21" s="274"/>
      <c r="F21" s="280" t="s">
        <v>327</v>
      </c>
      <c r="G21" s="282">
        <f ca="1">ROUND(C21*$C$18+D21*$D$18,0)</f>
        <v>6543</v>
      </c>
      <c r="H21" s="1251" t="s">
        <v>326</v>
      </c>
      <c r="I21" s="311"/>
      <c r="J21" s="1926"/>
      <c r="K21" s="1926"/>
      <c r="L21" s="1926"/>
      <c r="M21" s="1926"/>
      <c r="N21" s="1926"/>
      <c r="O21" s="1926"/>
      <c r="P21" s="1926"/>
      <c r="Q21" s="1926"/>
      <c r="R21" s="1926"/>
      <c r="S21" s="1926"/>
      <c r="T21" s="1926"/>
      <c r="U21" s="1926"/>
      <c r="V21" s="1926"/>
    </row>
    <row r="22" spans="1:26" ht="15.75" thickBot="1">
      <c r="A22" s="126" t="s">
        <v>328</v>
      </c>
      <c r="B22" s="1252"/>
      <c r="C22" s="1253"/>
      <c r="D22" s="283">
        <f ca="1">IF(C19&lt;D19,D19/C19-1,C19/D19-1)</f>
        <v>9.6708564421281729E-3</v>
      </c>
      <c r="E22" s="284"/>
      <c r="F22" s="285"/>
      <c r="G22" s="286">
        <f ca="1">ROUND(G19/('数据-汇总表'!D3/666.67),0)</f>
        <v>436</v>
      </c>
      <c r="H22" s="287" t="s">
        <v>329</v>
      </c>
      <c r="I22" s="311"/>
      <c r="J22" s="1926"/>
      <c r="K22" s="1926"/>
      <c r="L22" s="1926"/>
      <c r="M22" s="1926"/>
      <c r="N22" s="1926"/>
      <c r="O22" s="1926"/>
      <c r="P22" s="1926"/>
      <c r="Q22" s="1926"/>
      <c r="R22" s="1926"/>
      <c r="S22" s="1926"/>
      <c r="T22" s="1926"/>
      <c r="U22" s="1926"/>
      <c r="V22" s="1926"/>
    </row>
    <row r="23" spans="1:26" ht="13.5" hidden="1" thickBot="1">
      <c r="A23" s="311"/>
      <c r="B23" s="311"/>
      <c r="C23" s="311"/>
      <c r="D23" s="311"/>
      <c r="E23" s="311"/>
      <c r="F23" s="311"/>
      <c r="G23" s="311"/>
      <c r="H23" s="311"/>
      <c r="I23" s="311"/>
      <c r="J23" s="1926"/>
      <c r="K23" s="1926"/>
      <c r="L23" s="1926"/>
      <c r="M23" s="1926"/>
      <c r="N23" s="1926"/>
      <c r="O23" s="1926"/>
      <c r="P23" s="1926"/>
      <c r="Q23" s="1926"/>
      <c r="R23" s="1926"/>
      <c r="S23" s="1926"/>
      <c r="T23" s="1926"/>
      <c r="U23" s="1926"/>
      <c r="V23" s="1926"/>
    </row>
    <row r="24" spans="1:26" ht="15" hidden="1" thickBot="1">
      <c r="A24" s="3479" t="s">
        <v>330</v>
      </c>
      <c r="B24" s="269" t="s">
        <v>322</v>
      </c>
      <c r="C24" s="288">
        <f>IF(B30=0,0,D30)</f>
        <v>0</v>
      </c>
      <c r="D24" s="289"/>
      <c r="E24" s="311"/>
      <c r="F24" s="311"/>
      <c r="G24" s="311"/>
      <c r="H24" s="311"/>
      <c r="I24" s="311"/>
      <c r="J24" s="1926"/>
      <c r="K24" s="1926"/>
      <c r="L24" s="1926"/>
      <c r="M24" s="1926"/>
      <c r="N24" s="1926"/>
      <c r="O24" s="1926"/>
      <c r="P24" s="1926"/>
      <c r="Q24" s="1926"/>
      <c r="R24" s="1926"/>
      <c r="S24" s="1926"/>
      <c r="T24" s="1926"/>
      <c r="U24" s="1926"/>
      <c r="V24" s="1926"/>
    </row>
    <row r="25" spans="1:26" ht="18" hidden="1">
      <c r="A25" s="3521"/>
      <c r="B25" s="1321" t="s">
        <v>331</v>
      </c>
      <c r="C25" s="290">
        <f>IF(B30=0,0,C30)</f>
        <v>0</v>
      </c>
      <c r="D25" s="291"/>
      <c r="E25" s="311"/>
      <c r="F25" s="311"/>
      <c r="G25" s="311"/>
      <c r="H25" s="311"/>
      <c r="I25" s="311"/>
      <c r="J25" s="1926"/>
      <c r="K25" s="1255" t="str">
        <f ca="1">项目基本情况!B16&amp;"国有建设用地使用权价格："&amp;O38&amp;"万元"</f>
        <v>出让国有建设用地使用权价格：72109万元</v>
      </c>
      <c r="L25" s="1256"/>
      <c r="M25" s="1256"/>
      <c r="N25" s="1256"/>
      <c r="O25" s="1257"/>
      <c r="P25" s="1926"/>
      <c r="Q25" s="1926"/>
      <c r="R25" s="1926"/>
      <c r="S25" s="1926"/>
      <c r="T25" s="1926"/>
      <c r="U25" s="1926"/>
      <c r="V25" s="1926"/>
    </row>
    <row r="26" spans="1:26" s="1254" customFormat="1" ht="18" hidden="1">
      <c r="A26" s="293" t="s">
        <v>332</v>
      </c>
      <c r="B26" s="294" t="s">
        <v>333</v>
      </c>
      <c r="C26" s="294" t="s">
        <v>334</v>
      </c>
      <c r="D26" s="295" t="s">
        <v>335</v>
      </c>
      <c r="E26" s="311"/>
      <c r="F26" s="311"/>
      <c r="G26" s="311"/>
      <c r="H26" s="311"/>
      <c r="I26" s="311"/>
      <c r="J26" s="1926"/>
      <c r="K26" s="1258" t="str">
        <f ca="1">"大写金额：人民币"&amp;NUMBERSTRING(INT(O38*10000),2)&amp;"元整"</f>
        <v>大写金额：人民币柒亿贰仟壹佰零玖万元整</v>
      </c>
      <c r="L26" s="1252"/>
      <c r="M26" s="1252"/>
      <c r="N26" s="1252"/>
      <c r="O26" s="1251"/>
      <c r="P26" s="1926"/>
      <c r="Q26" s="1926"/>
      <c r="R26" s="1926"/>
      <c r="S26" s="1926"/>
      <c r="T26" s="1926"/>
      <c r="U26" s="1926"/>
      <c r="V26" s="1926"/>
      <c r="W26" s="292"/>
      <c r="X26" s="292"/>
      <c r="Y26" s="292"/>
      <c r="Z26" s="292"/>
    </row>
    <row r="27" spans="1:26" ht="18" hidden="1">
      <c r="A27" s="293"/>
      <c r="B27" s="294"/>
      <c r="C27" s="294"/>
      <c r="D27" s="295"/>
      <c r="E27" s="311"/>
      <c r="F27" s="311"/>
      <c r="G27" s="311"/>
      <c r="H27" s="311"/>
      <c r="I27" s="311"/>
      <c r="J27" s="1926"/>
      <c r="K27" s="1258" t="str">
        <f ca="1">"单位面积地价："&amp;M38&amp;"元/平方米"</f>
        <v>单位面积地价：6543元/平方米</v>
      </c>
      <c r="L27" s="1252"/>
      <c r="M27" s="1252"/>
      <c r="N27" s="1252"/>
      <c r="O27" s="1251"/>
      <c r="P27" s="1926"/>
      <c r="Q27" s="1926"/>
      <c r="R27" s="1926"/>
      <c r="S27" s="1926"/>
      <c r="T27" s="1926"/>
      <c r="U27" s="1926"/>
      <c r="V27" s="1926"/>
    </row>
    <row r="28" spans="1:26" ht="18.75" hidden="1" customHeight="1">
      <c r="A28" s="293"/>
      <c r="B28" s="294"/>
      <c r="C28" s="294"/>
      <c r="D28" s="295"/>
      <c r="E28" s="311"/>
      <c r="F28" s="311"/>
      <c r="G28" s="311"/>
      <c r="H28" s="311"/>
      <c r="I28" s="311"/>
      <c r="J28" s="1926"/>
      <c r="K28" s="1258" t="str">
        <f ca="1">"楼面地价："&amp;N38&amp;"元/平方米"</f>
        <v>楼面地价：4674元/平方米</v>
      </c>
      <c r="L28" s="1252"/>
      <c r="M28" s="1252"/>
      <c r="N28" s="1252"/>
      <c r="O28" s="1251"/>
      <c r="P28" s="1926"/>
      <c r="V28" s="1926"/>
    </row>
    <row r="29" spans="1:26" ht="18" hidden="1">
      <c r="A29" s="293"/>
      <c r="B29" s="294"/>
      <c r="C29" s="294"/>
      <c r="D29" s="295"/>
      <c r="E29" s="311"/>
      <c r="F29" s="311"/>
      <c r="G29" s="311"/>
      <c r="H29" s="311"/>
      <c r="I29" s="311"/>
      <c r="J29" s="1926"/>
      <c r="K29" s="1258" t="str">
        <f ca="1">IF(OR(项目基本情况!E8="抵押价格",项目基本情况!E8="已注销及未注销"),"抵押价格："&amp;O39&amp;"万元","——")</f>
        <v>抵押价格：72109万元</v>
      </c>
      <c r="L29" s="1252"/>
      <c r="M29" s="1252"/>
      <c r="N29" s="1252"/>
      <c r="O29" s="1251"/>
      <c r="P29" s="1926"/>
      <c r="V29" s="1926"/>
    </row>
    <row r="30" spans="1:26" ht="18.75" hidden="1" thickBot="1">
      <c r="A30" s="3051" t="s">
        <v>336</v>
      </c>
      <c r="B30" s="309"/>
      <c r="C30" s="309"/>
      <c r="D30" s="310"/>
      <c r="E30" s="3052" t="s">
        <v>2959</v>
      </c>
      <c r="F30" s="311"/>
      <c r="G30" s="311"/>
      <c r="H30" s="311"/>
      <c r="I30" s="311"/>
      <c r="J30" s="1926"/>
      <c r="K30" s="1258" t="str">
        <f ca="1">IF(K29="——","——","大写金额：人民币"&amp;NUMBERSTRING(INT(O39*10000),2)&amp;"元整")</f>
        <v>大写金额：人民币柒亿贰仟壹佰零玖万元整</v>
      </c>
      <c r="L30" s="1252"/>
      <c r="M30" s="1252"/>
      <c r="N30" s="1252"/>
      <c r="O30" s="1251"/>
      <c r="P30" s="1926"/>
      <c r="V30" s="1926"/>
    </row>
    <row r="31" spans="1:26" ht="24" hidden="1" customHeight="1" thickBot="1">
      <c r="A31" s="311"/>
      <c r="B31" s="311"/>
      <c r="C31" s="311"/>
      <c r="D31" s="311"/>
      <c r="E31" s="311"/>
      <c r="F31" s="311"/>
      <c r="G31" s="311"/>
      <c r="H31" s="311"/>
      <c r="I31" s="311"/>
      <c r="J31" s="1926"/>
      <c r="K31" s="2387" t="str">
        <f>IF(项目基本情况!E8="抵押价格","——","抵押担保权已注销时的抵押价格："&amp;O40&amp;"万元")</f>
        <v>——</v>
      </c>
      <c r="L31" s="2383"/>
      <c r="M31" s="2383"/>
      <c r="N31" s="2383"/>
      <c r="O31" s="2384"/>
      <c r="P31" s="1926"/>
      <c r="V31" s="1926"/>
    </row>
    <row r="32" spans="1:26" ht="18.75" thickBot="1">
      <c r="A32" s="268" t="s">
        <v>337</v>
      </c>
      <c r="B32" s="1382" t="s">
        <v>1687</v>
      </c>
      <c r="C32" s="1383">
        <f ca="1">G19-C24</f>
        <v>72109</v>
      </c>
      <c r="D32" s="1384" t="s">
        <v>1688</v>
      </c>
      <c r="E32" s="311"/>
      <c r="F32" s="311"/>
      <c r="G32" s="311"/>
      <c r="H32" s="311"/>
      <c r="I32" s="311"/>
      <c r="J32" s="1926"/>
      <c r="K32" s="2382" t="str">
        <f>IF(K31="——","——","大写金额：人民币"&amp;NUMBERSTRING(INT(O40*10000),2)&amp;"元整")</f>
        <v>——</v>
      </c>
      <c r="L32" s="2385"/>
      <c r="M32" s="2385"/>
      <c r="N32" s="2385"/>
      <c r="O32" s="2386"/>
      <c r="P32" s="1926"/>
      <c r="V32" s="1926"/>
    </row>
    <row r="33" spans="1:26" ht="18.75" thickBot="1">
      <c r="A33" s="298" t="s">
        <v>340</v>
      </c>
      <c r="B33" s="1385" t="s">
        <v>1689</v>
      </c>
      <c r="C33" s="264">
        <f ca="1">ROUND(C32*10000/'数据-汇总表'!E3,0)</f>
        <v>4674</v>
      </c>
      <c r="D33" s="1386" t="s">
        <v>1690</v>
      </c>
      <c r="E33" s="3479" t="s">
        <v>338</v>
      </c>
      <c r="F33" s="296" t="s">
        <v>339</v>
      </c>
      <c r="G33" s="297"/>
      <c r="H33" s="980"/>
      <c r="I33" s="1259"/>
      <c r="J33" s="1926"/>
      <c r="K33" s="1258" t="str">
        <f>IF(项目基本情况!E9="——","——","抵押净值："&amp;C46&amp;"万元")</f>
        <v>抵押净值：——万元</v>
      </c>
      <c r="L33" s="1252"/>
      <c r="M33" s="1252"/>
      <c r="N33" s="1252"/>
      <c r="O33" s="1251"/>
      <c r="P33" s="1926"/>
      <c r="V33" s="1926"/>
    </row>
    <row r="34" spans="1:26" s="1254" customFormat="1" ht="18.75" thickBot="1">
      <c r="A34" s="300"/>
      <c r="B34" s="1387" t="s">
        <v>1691</v>
      </c>
      <c r="C34" s="264">
        <f ca="1">ROUND(C32*10000/'数据-汇总表'!D3,0)</f>
        <v>6543</v>
      </c>
      <c r="D34" s="1388" t="s">
        <v>1690</v>
      </c>
      <c r="E34" s="3480"/>
      <c r="F34" s="127" t="s">
        <v>341</v>
      </c>
      <c r="G34" s="299"/>
      <c r="H34" s="105"/>
      <c r="I34" s="311"/>
      <c r="J34" s="1926"/>
      <c r="K34" s="1261" t="e">
        <f>IF(K33="——","——","大写金额：人民币"&amp;NUMBERSTRING(INT(O41*10000),2)&amp;"元整")</f>
        <v>#VALUE!</v>
      </c>
      <c r="L34" s="1262"/>
      <c r="M34" s="1262"/>
      <c r="N34" s="1262"/>
      <c r="O34" s="1263"/>
      <c r="P34" s="1926"/>
      <c r="Q34" s="292"/>
      <c r="R34" s="292"/>
      <c r="S34" s="292"/>
      <c r="T34" s="292"/>
      <c r="U34" s="292"/>
      <c r="V34" s="1926"/>
      <c r="W34" s="292"/>
      <c r="X34" s="292"/>
      <c r="Y34" s="292"/>
      <c r="Z34" s="292"/>
    </row>
    <row r="35" spans="1:26" ht="15.75" thickBot="1">
      <c r="A35" s="284"/>
      <c r="B35" s="1389"/>
      <c r="C35" s="1390">
        <f ca="1">ROUND(C32/('数据-汇总表'!D3/666.67),0)</f>
        <v>436</v>
      </c>
      <c r="D35" s="1391" t="s">
        <v>1692</v>
      </c>
      <c r="E35" s="3481"/>
      <c r="F35" s="301" t="s">
        <v>342</v>
      </c>
      <c r="G35" s="982"/>
      <c r="H35" s="981" t="s">
        <v>343</v>
      </c>
      <c r="I35" s="311"/>
      <c r="J35" s="1926"/>
      <c r="K35" s="3485" t="s">
        <v>350</v>
      </c>
      <c r="L35" s="3485" t="s">
        <v>351</v>
      </c>
      <c r="M35" s="1264" t="s">
        <v>352</v>
      </c>
      <c r="N35" s="3485" t="s">
        <v>353</v>
      </c>
      <c r="O35" s="3485" t="s">
        <v>354</v>
      </c>
      <c r="P35" s="1926"/>
      <c r="V35" s="1926"/>
    </row>
    <row r="36" spans="1:26" ht="16.5" customHeight="1">
      <c r="A36" s="303" t="s">
        <v>344</v>
      </c>
      <c r="B36" s="304" t="s">
        <v>333</v>
      </c>
      <c r="C36" s="305" t="s">
        <v>345</v>
      </c>
      <c r="D36" s="305" t="s">
        <v>346</v>
      </c>
      <c r="E36" s="306" t="s">
        <v>347</v>
      </c>
      <c r="F36" s="311"/>
      <c r="G36" s="311"/>
      <c r="H36" s="311"/>
      <c r="I36" s="311"/>
      <c r="J36" s="1928"/>
      <c r="K36" s="3486"/>
      <c r="L36" s="3486"/>
      <c r="M36" s="1266" t="s">
        <v>355</v>
      </c>
      <c r="N36" s="3486"/>
      <c r="O36" s="3486"/>
      <c r="P36" s="1926"/>
      <c r="V36" s="1926"/>
    </row>
    <row r="37" spans="1:26" ht="16.5" customHeight="1" thickBot="1">
      <c r="A37" s="1260" t="s">
        <v>348</v>
      </c>
      <c r="B37" s="307"/>
      <c r="C37" s="294"/>
      <c r="D37" s="294"/>
      <c r="E37" s="295"/>
      <c r="F37" s="311"/>
      <c r="G37" s="311"/>
      <c r="H37" s="311"/>
      <c r="I37" s="311"/>
      <c r="J37" s="1928"/>
      <c r="K37" s="3487"/>
      <c r="L37" s="3487"/>
      <c r="M37" s="1267"/>
      <c r="N37" s="3487"/>
      <c r="O37" s="3487"/>
      <c r="P37" s="1926"/>
      <c r="V37" s="1926"/>
    </row>
    <row r="38" spans="1:26" ht="16.5" customHeight="1" thickBot="1">
      <c r="A38" s="1260" t="s">
        <v>349</v>
      </c>
      <c r="B38" s="307"/>
      <c r="C38" s="294"/>
      <c r="D38" s="294"/>
      <c r="E38" s="295"/>
      <c r="F38" s="311"/>
      <c r="G38" s="311"/>
      <c r="H38" s="311"/>
      <c r="I38" s="311"/>
      <c r="J38" s="1928"/>
      <c r="K38" s="1268">
        <f>'数据-汇总表'!D3</f>
        <v>110209</v>
      </c>
      <c r="L38" s="1269">
        <f>'数据-汇总表'!E3</f>
        <v>154292.6</v>
      </c>
      <c r="M38" s="1269">
        <f ca="1">C34</f>
        <v>6543</v>
      </c>
      <c r="N38" s="1269">
        <f ca="1">C33</f>
        <v>4674</v>
      </c>
      <c r="O38" s="1270">
        <f ca="1">C32</f>
        <v>72109</v>
      </c>
      <c r="P38" s="1926"/>
      <c r="V38" s="1926"/>
    </row>
    <row r="39" spans="1:26" ht="16.5" customHeight="1" thickBot="1">
      <c r="A39" s="1265"/>
      <c r="B39" s="308"/>
      <c r="C39" s="309"/>
      <c r="D39" s="309"/>
      <c r="E39" s="310"/>
      <c r="F39" s="311"/>
      <c r="G39" s="311"/>
      <c r="H39" s="311"/>
      <c r="I39" s="311"/>
      <c r="J39" s="1928"/>
      <c r="K39" s="3462" t="str">
        <f>MID(A44,3,LEN(A44)-2)</f>
        <v>抵押价格</v>
      </c>
      <c r="L39" s="3463"/>
      <c r="M39" s="3463"/>
      <c r="N39" s="3464"/>
      <c r="O39" s="1393">
        <f ca="1">C44</f>
        <v>72109</v>
      </c>
      <c r="P39" s="1926"/>
      <c r="V39" s="1926"/>
    </row>
    <row r="40" spans="1:26" ht="19.5" thickBot="1">
      <c r="A40" s="104" t="s">
        <v>871</v>
      </c>
      <c r="B40" s="311"/>
      <c r="C40" s="311"/>
      <c r="D40" s="311"/>
      <c r="E40" s="311"/>
      <c r="F40" s="311"/>
      <c r="G40" s="311"/>
      <c r="H40" s="311"/>
      <c r="I40" s="311"/>
      <c r="J40" s="1928"/>
      <c r="K40" s="3462" t="str">
        <f t="shared" ref="K40:K41" si="0">MID(A45,3,LEN(A45)-2)</f>
        <v/>
      </c>
      <c r="L40" s="3463"/>
      <c r="M40" s="3463"/>
      <c r="N40" s="3464"/>
      <c r="O40" s="1393" t="str">
        <f>C45</f>
        <v>——</v>
      </c>
      <c r="P40" s="1926"/>
      <c r="V40" s="1926"/>
    </row>
    <row r="41" spans="1:26" ht="16.5" thickBot="1">
      <c r="A41" s="312" t="s">
        <v>356</v>
      </c>
      <c r="B41" s="313"/>
      <c r="C41" s="314" t="s">
        <v>357</v>
      </c>
      <c r="D41" s="315" t="s">
        <v>358</v>
      </c>
      <c r="E41" s="315" t="s">
        <v>359</v>
      </c>
      <c r="F41" s="316" t="s">
        <v>360</v>
      </c>
      <c r="G41" s="311"/>
      <c r="H41" s="311"/>
      <c r="I41" s="311"/>
      <c r="J41" s="1928"/>
      <c r="K41" s="3462" t="str">
        <f t="shared" si="0"/>
        <v/>
      </c>
      <c r="L41" s="3463"/>
      <c r="M41" s="3463"/>
      <c r="N41" s="3464"/>
      <c r="O41" s="1393" t="str">
        <f>C46</f>
        <v>——</v>
      </c>
      <c r="P41" s="1926"/>
      <c r="V41" s="1926"/>
    </row>
    <row r="42" spans="1:26" ht="29.25">
      <c r="A42" s="3522" t="s">
        <v>2065</v>
      </c>
      <c r="B42" s="3523"/>
      <c r="C42" s="264">
        <f ca="1">C32</f>
        <v>72109</v>
      </c>
      <c r="D42" s="317">
        <f ca="1">C33</f>
        <v>4674</v>
      </c>
      <c r="E42" s="317">
        <f ca="1">C34</f>
        <v>6543</v>
      </c>
      <c r="F42" s="318">
        <f ca="1">C35</f>
        <v>436</v>
      </c>
      <c r="G42" s="311"/>
      <c r="H42" s="311"/>
      <c r="I42" s="319"/>
      <c r="J42" s="1928"/>
      <c r="K42" s="1271" t="s">
        <v>361</v>
      </c>
      <c r="L42" s="1945" t="s">
        <v>362</v>
      </c>
      <c r="M42" s="1272" t="s">
        <v>363</v>
      </c>
      <c r="N42" s="1946" t="s">
        <v>364</v>
      </c>
      <c r="O42" s="1947" t="s">
        <v>365</v>
      </c>
      <c r="P42" s="1926"/>
      <c r="V42" s="1926"/>
    </row>
    <row r="43" spans="1:26" ht="30">
      <c r="A43" s="3532" t="s">
        <v>2729</v>
      </c>
      <c r="B43" s="3533"/>
      <c r="C43" s="264">
        <f>IF(H33="正常操作",G33+G34+G35,G34+G35)</f>
        <v>0</v>
      </c>
      <c r="D43" s="317" t="s">
        <v>43</v>
      </c>
      <c r="E43" s="317" t="s">
        <v>44</v>
      </c>
      <c r="F43" s="318" t="s">
        <v>44</v>
      </c>
      <c r="G43" s="2781" t="s">
        <v>950</v>
      </c>
      <c r="H43" s="311"/>
      <c r="I43" s="319"/>
      <c r="J43" s="1928"/>
      <c r="K43" s="1273" t="str">
        <f>C4</f>
        <v>剩余法-待开发</v>
      </c>
      <c r="L43" s="1274">
        <f ca="1">IF(L42="估价结果/万元",C19,C20)</f>
        <v>71762</v>
      </c>
      <c r="M43" s="1275">
        <f>C18</f>
        <v>0.5</v>
      </c>
      <c r="N43" s="1276">
        <f ca="1">IF(N42="测算结果/万元",G19,G20)</f>
        <v>72109</v>
      </c>
      <c r="O43" s="1277">
        <f ca="1">IF(O42="最终结果/万元",C32,C33)</f>
        <v>72109</v>
      </c>
      <c r="P43" s="1926"/>
      <c r="V43" s="1926"/>
    </row>
    <row r="44" spans="1:26" ht="30.75" thickBot="1">
      <c r="A44" s="3522" t="str">
        <f>IF(OR(项目基本情况!E8="抵押价格",项目基本情况!E8="已注销及未注销"),"3.抵押价格","——")</f>
        <v>3.抵押价格</v>
      </c>
      <c r="B44" s="3523"/>
      <c r="C44" s="264">
        <f ca="1">IF(A44="——","——",C42-C43)</f>
        <v>72109</v>
      </c>
      <c r="D44" s="317">
        <f ca="1">ROUND(C44*10000/'数据-汇总表'!E3,0)</f>
        <v>4674</v>
      </c>
      <c r="E44" s="317">
        <f ca="1">ROUND(C44*10000/'数据-汇总表'!D3,0)</f>
        <v>6543</v>
      </c>
      <c r="F44" s="318">
        <f ca="1">ROUND(C44/('数据-汇总表'!D3/666.67),0)</f>
        <v>436</v>
      </c>
      <c r="G44" s="311"/>
      <c r="H44" s="311"/>
      <c r="I44" s="319"/>
      <c r="J44" s="1928"/>
      <c r="K44" s="1278" t="str">
        <f>D4</f>
        <v>比较法-住宅、综合</v>
      </c>
      <c r="L44" s="1279">
        <f ca="1">IF(L42="估价结果/万元",D19,D20)</f>
        <v>72456</v>
      </c>
      <c r="M44" s="1280">
        <f>D18</f>
        <v>0.5</v>
      </c>
      <c r="N44" s="1281"/>
      <c r="O44" s="1282"/>
      <c r="P44" s="1926"/>
      <c r="V44" s="1926"/>
    </row>
    <row r="45" spans="1:26" ht="15" hidden="1">
      <c r="A45" s="3527" t="str">
        <f>IF(项目基本情况!E8="已注销及未注销","4.抵押担保权已注销时的抵押价格",IF(项目基本情况!E8="已注销","3.抵押担保权已注销时的抵押价格","——"))</f>
        <v>——</v>
      </c>
      <c r="B45" s="3528"/>
      <c r="C45" s="170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28"/>
      <c r="K45" s="1926"/>
      <c r="L45" s="1926"/>
      <c r="M45" s="1926"/>
      <c r="N45" s="1926"/>
      <c r="O45" s="1926"/>
      <c r="P45" s="1926"/>
      <c r="V45" s="1926"/>
    </row>
    <row r="46" spans="1:26" ht="15.75" hidden="1" thickBot="1">
      <c r="A46" s="3524" t="str">
        <f>IF(项目基本情况!E9="抵押净值",IF(A45="——","4.抵押净值","5.抵押净值"),"——")</f>
        <v>——</v>
      </c>
      <c r="B46" s="3525"/>
      <c r="C46" s="320" t="str">
        <f>IF(A46="——","——",O79)</f>
        <v>——</v>
      </c>
      <c r="D46" s="317" t="e">
        <f>ROUND(C46*10000/'数据-汇总表'!E3,0)</f>
        <v>#VALUE!</v>
      </c>
      <c r="E46" s="317" t="e">
        <f>ROUND(C46*10000/'数据-汇总表'!D3,0)</f>
        <v>#VALUE!</v>
      </c>
      <c r="F46" s="318" t="e">
        <f>ROUND(C46/('数据-汇总表'!D3/666.67),0)</f>
        <v>#VALUE!</v>
      </c>
      <c r="G46" s="311"/>
      <c r="H46" s="311"/>
      <c r="I46" s="319"/>
      <c r="J46" s="1928"/>
      <c r="K46" s="1926"/>
      <c r="L46" s="1926"/>
      <c r="M46" s="1926"/>
      <c r="N46" s="1926"/>
      <c r="O46" s="1926"/>
      <c r="P46" s="1926"/>
      <c r="Q46" s="1926"/>
      <c r="R46" s="1926"/>
      <c r="S46" s="1926"/>
      <c r="T46" s="1926"/>
      <c r="U46" s="1926"/>
      <c r="V46" s="1926"/>
    </row>
    <row r="47" spans="1:26" ht="15.75">
      <c r="A47" s="321" t="s">
        <v>366</v>
      </c>
      <c r="B47" s="1283"/>
      <c r="C47" s="322" t="s">
        <v>3210</v>
      </c>
      <c r="D47" s="323"/>
      <c r="E47" s="323"/>
      <c r="F47" s="323"/>
      <c r="G47" s="324"/>
      <c r="H47" s="325"/>
      <c r="I47" s="326"/>
      <c r="J47" s="1928"/>
      <c r="K47" s="311"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2.75">
      <c r="A48" s="327">
        <v>1</v>
      </c>
      <c r="B48" s="328"/>
      <c r="C48" s="328"/>
      <c r="D48" s="323"/>
      <c r="E48" s="323"/>
      <c r="F48" s="323"/>
      <c r="G48" s="323"/>
      <c r="H48" s="329"/>
      <c r="I48" s="330"/>
      <c r="J48" s="1928"/>
      <c r="K48" s="1926"/>
      <c r="L48" s="1926"/>
      <c r="M48" s="1926"/>
      <c r="N48" s="1926"/>
      <c r="O48" s="1926"/>
      <c r="P48" s="1926"/>
      <c r="Q48" s="1926"/>
      <c r="R48" s="1926"/>
      <c r="S48" s="1926"/>
      <c r="T48" s="1926"/>
      <c r="U48" s="1926"/>
      <c r="V48" s="1926"/>
    </row>
    <row r="49" spans="1:22" ht="12.75">
      <c r="A49" s="327">
        <v>2</v>
      </c>
      <c r="B49" s="328"/>
      <c r="C49" s="328"/>
      <c r="D49" s="323"/>
      <c r="E49" s="323"/>
      <c r="F49" s="323"/>
      <c r="G49" s="323"/>
      <c r="H49" s="329"/>
      <c r="I49" s="330"/>
      <c r="J49" s="1929"/>
      <c r="K49" s="1926"/>
      <c r="L49" s="1926"/>
      <c r="M49" s="1926"/>
      <c r="N49" s="1926"/>
      <c r="O49" s="1926"/>
      <c r="P49" s="1926"/>
      <c r="Q49" s="1926"/>
      <c r="R49" s="1926"/>
      <c r="S49" s="1926"/>
      <c r="T49" s="1926"/>
      <c r="U49" s="1926"/>
      <c r="V49" s="1926"/>
    </row>
    <row r="50" spans="1:22" ht="12.75">
      <c r="A50" s="327">
        <v>3</v>
      </c>
      <c r="B50" s="328"/>
      <c r="C50" s="328"/>
      <c r="D50" s="323"/>
      <c r="E50" s="323"/>
      <c r="F50" s="323"/>
      <c r="G50" s="323"/>
      <c r="H50" s="329"/>
      <c r="I50" s="330"/>
      <c r="J50" s="1929"/>
      <c r="K50" s="1926"/>
      <c r="L50" s="1926"/>
      <c r="M50" s="1926"/>
      <c r="N50" s="1926"/>
      <c r="O50" s="1926"/>
      <c r="P50" s="1926"/>
      <c r="Q50" s="1926"/>
      <c r="R50" s="1926"/>
      <c r="S50" s="1926"/>
      <c r="T50" s="1926"/>
      <c r="U50" s="1926"/>
      <c r="V50" s="1926"/>
    </row>
    <row r="51" spans="1:22" ht="12.75">
      <c r="A51" s="331"/>
      <c r="B51" s="332"/>
      <c r="C51" s="332"/>
      <c r="D51" s="333"/>
      <c r="E51" s="333"/>
      <c r="F51" s="333"/>
      <c r="G51" s="333"/>
      <c r="H51" s="334"/>
      <c r="I51" s="335"/>
      <c r="J51" s="1929"/>
      <c r="K51" s="1926"/>
      <c r="L51" s="1926"/>
      <c r="M51" s="1926"/>
      <c r="N51" s="1926"/>
      <c r="O51" s="1926"/>
      <c r="P51" s="1926"/>
      <c r="Q51" s="1926"/>
      <c r="R51" s="1926"/>
      <c r="S51" s="1926"/>
      <c r="T51" s="1926"/>
      <c r="U51" s="1926"/>
      <c r="V51" s="1926"/>
    </row>
    <row r="52" spans="1:22" ht="12.75">
      <c r="A52" s="328"/>
      <c r="B52" s="328"/>
      <c r="C52" s="328"/>
      <c r="D52" s="323"/>
      <c r="E52" s="323"/>
      <c r="F52" s="323"/>
      <c r="G52" s="323"/>
      <c r="H52" s="329"/>
      <c r="I52" s="257"/>
      <c r="J52" s="1929"/>
      <c r="K52" s="1926"/>
      <c r="L52" s="1926"/>
      <c r="M52" s="1926"/>
      <c r="N52" s="1926"/>
      <c r="O52" s="1926"/>
      <c r="P52" s="1926"/>
      <c r="Q52" s="1926"/>
      <c r="R52" s="1926"/>
      <c r="S52" s="1926"/>
      <c r="T52" s="1926"/>
      <c r="U52" s="1926"/>
      <c r="V52" s="1926"/>
    </row>
    <row r="53" spans="1:22" ht="12.75">
      <c r="A53" s="257"/>
      <c r="B53" s="257"/>
      <c r="C53" s="257"/>
      <c r="D53" s="257"/>
      <c r="E53" s="257"/>
      <c r="F53" s="336" t="s">
        <v>367</v>
      </c>
      <c r="G53" s="337"/>
      <c r="H53" s="337"/>
      <c r="I53" s="338" t="s">
        <v>368</v>
      </c>
      <c r="J53" s="1929"/>
      <c r="K53" s="1926"/>
      <c r="L53" s="1926"/>
      <c r="M53" s="1926"/>
      <c r="N53" s="1926"/>
      <c r="O53" s="1926"/>
      <c r="P53" s="1926"/>
      <c r="Q53" s="1926"/>
      <c r="R53" s="1926"/>
      <c r="S53" s="1926"/>
      <c r="T53" s="1926"/>
      <c r="U53" s="1926"/>
      <c r="V53" s="1926"/>
    </row>
    <row r="54" spans="1:22" ht="12.75">
      <c r="A54" s="257"/>
      <c r="B54" s="339" t="s">
        <v>369</v>
      </c>
      <c r="C54" s="257"/>
      <c r="D54" s="257"/>
      <c r="E54" s="257"/>
      <c r="F54" s="257"/>
      <c r="G54" s="257"/>
      <c r="H54" s="257"/>
      <c r="I54" s="257"/>
      <c r="J54" s="1929"/>
      <c r="K54" s="1926"/>
      <c r="L54" s="1926"/>
      <c r="M54" s="1926"/>
      <c r="N54" s="1926"/>
      <c r="O54" s="1926"/>
      <c r="P54" s="1926"/>
      <c r="Q54" s="1926"/>
      <c r="R54" s="1926"/>
      <c r="S54" s="1926"/>
      <c r="T54" s="1926"/>
      <c r="U54" s="1926"/>
      <c r="V54" s="1926"/>
    </row>
    <row r="55" spans="1:22" ht="12.75">
      <c r="A55" s="257"/>
      <c r="B55" s="257"/>
      <c r="C55" s="257"/>
      <c r="D55" s="257"/>
      <c r="E55" s="257"/>
      <c r="F55" s="257"/>
      <c r="G55" s="257"/>
      <c r="H55" s="257"/>
      <c r="I55" s="257"/>
      <c r="J55" s="1929"/>
      <c r="K55" s="1926"/>
      <c r="L55" s="1926"/>
      <c r="M55" s="1926"/>
      <c r="N55" s="1926"/>
      <c r="O55" s="1926"/>
      <c r="P55" s="1926"/>
      <c r="Q55" s="1926"/>
      <c r="R55" s="1926"/>
      <c r="S55" s="1926"/>
      <c r="T55" s="1926"/>
      <c r="U55" s="1926"/>
      <c r="V55" s="1926"/>
    </row>
    <row r="56" spans="1:22" ht="12.75">
      <c r="A56" s="257"/>
      <c r="B56" s="337"/>
      <c r="C56" s="337"/>
      <c r="D56" s="337"/>
      <c r="E56" s="337"/>
      <c r="F56" s="337"/>
      <c r="G56" s="337"/>
      <c r="H56" s="337"/>
      <c r="I56" s="338" t="s">
        <v>370</v>
      </c>
      <c r="J56" s="1929"/>
      <c r="K56" s="1926"/>
      <c r="L56" s="1926"/>
      <c r="M56" s="1926"/>
      <c r="N56" s="1926"/>
      <c r="O56" s="1926"/>
      <c r="P56" s="1926"/>
      <c r="Q56" s="1926"/>
      <c r="R56" s="1926"/>
      <c r="S56" s="1926"/>
      <c r="T56" s="1926"/>
      <c r="U56" s="1926"/>
      <c r="V56" s="1926"/>
    </row>
    <row r="57" spans="1:22" ht="12.75">
      <c r="A57" s="257"/>
      <c r="B57" s="339" t="s">
        <v>371</v>
      </c>
      <c r="C57" s="257"/>
      <c r="D57" s="257"/>
      <c r="E57" s="257"/>
      <c r="F57" s="257"/>
      <c r="G57" s="257"/>
      <c r="H57" s="257"/>
      <c r="I57" s="257"/>
      <c r="J57" s="1929"/>
      <c r="K57" s="1926"/>
      <c r="L57" s="1926"/>
      <c r="M57" s="1926"/>
      <c r="N57" s="1926"/>
      <c r="O57" s="1926"/>
      <c r="P57" s="1926"/>
      <c r="Q57" s="1926"/>
      <c r="R57" s="1926"/>
      <c r="S57" s="1926"/>
      <c r="T57" s="1926"/>
      <c r="U57" s="1926"/>
      <c r="V57" s="1926"/>
    </row>
    <row r="58" spans="1:22" ht="12.75">
      <c r="A58" s="257"/>
      <c r="B58" s="339"/>
      <c r="C58" s="257"/>
      <c r="D58" s="257"/>
      <c r="E58" s="257"/>
      <c r="F58" s="257"/>
      <c r="G58" s="257"/>
      <c r="H58" s="257"/>
      <c r="I58" s="257"/>
      <c r="J58" s="1929"/>
      <c r="K58" s="1926"/>
      <c r="L58" s="1926"/>
      <c r="M58" s="1926"/>
      <c r="N58" s="1926"/>
      <c r="O58" s="1926"/>
      <c r="P58" s="1926"/>
      <c r="Q58" s="1926"/>
      <c r="R58" s="1926"/>
      <c r="S58" s="1926"/>
      <c r="T58" s="1926"/>
      <c r="U58" s="1926"/>
      <c r="V58" s="1926"/>
    </row>
    <row r="59" spans="1:22" ht="12.75">
      <c r="A59" s="257"/>
      <c r="B59" s="337"/>
      <c r="C59" s="337"/>
      <c r="D59" s="337"/>
      <c r="E59" s="337"/>
      <c r="F59" s="337"/>
      <c r="G59" s="337"/>
      <c r="H59" s="337"/>
      <c r="I59" s="338" t="s">
        <v>370</v>
      </c>
      <c r="J59" s="1929"/>
      <c r="K59" s="1926"/>
      <c r="L59" s="1926"/>
      <c r="M59" s="1926"/>
      <c r="N59" s="1926"/>
      <c r="O59" s="1926"/>
      <c r="P59" s="1926"/>
      <c r="Q59" s="1926"/>
      <c r="R59" s="1926"/>
      <c r="S59" s="1926"/>
      <c r="T59" s="1926"/>
      <c r="U59" s="1926"/>
      <c r="V59" s="1926"/>
    </row>
    <row r="60" spans="1:22" ht="12.75">
      <c r="A60" s="257"/>
      <c r="B60" s="257"/>
      <c r="C60" s="257"/>
      <c r="D60" s="257"/>
      <c r="E60" s="257"/>
      <c r="F60" s="257"/>
      <c r="G60" s="257"/>
      <c r="H60" s="257"/>
      <c r="I60" s="257"/>
      <c r="J60" s="1929"/>
      <c r="K60" s="1926"/>
      <c r="L60" s="1926"/>
      <c r="M60" s="1926"/>
      <c r="N60" s="1926"/>
      <c r="O60" s="1926"/>
      <c r="P60" s="1926"/>
      <c r="Q60" s="1926"/>
      <c r="R60" s="1926"/>
      <c r="S60" s="1926"/>
      <c r="T60" s="1926"/>
      <c r="U60" s="1926"/>
      <c r="V60" s="1926"/>
    </row>
    <row r="61" spans="1:22" ht="12.75">
      <c r="A61" s="257"/>
      <c r="B61" s="339"/>
      <c r="C61" s="340"/>
      <c r="D61" s="216"/>
      <c r="E61" s="216"/>
      <c r="F61" s="253"/>
      <c r="G61" s="257"/>
      <c r="H61" s="257"/>
      <c r="I61" s="257"/>
      <c r="J61" s="1929"/>
      <c r="K61" s="1926"/>
      <c r="L61" s="1926"/>
      <c r="M61" s="1926"/>
      <c r="N61" s="1926"/>
      <c r="O61" s="1926"/>
      <c r="P61" s="1926"/>
      <c r="Q61" s="1926"/>
      <c r="R61" s="1926"/>
      <c r="S61" s="1926"/>
      <c r="T61" s="1926"/>
      <c r="U61" s="1926"/>
      <c r="V61" s="1926"/>
    </row>
    <row r="62" spans="1:22" ht="18.75">
      <c r="A62" s="1284" t="s">
        <v>372</v>
      </c>
      <c r="B62" s="1285"/>
      <c r="C62" s="1285"/>
      <c r="D62" s="1286"/>
      <c r="E62" s="1286"/>
      <c r="F62" s="1287"/>
      <c r="G62" s="1287"/>
      <c r="H62" s="1287"/>
      <c r="I62" s="1287"/>
      <c r="J62" s="1930"/>
      <c r="K62" s="1926"/>
      <c r="L62" s="1926"/>
      <c r="M62" s="1926"/>
      <c r="N62" s="1926"/>
      <c r="O62" s="1926"/>
      <c r="P62" s="1926"/>
      <c r="Q62" s="1926"/>
      <c r="R62" s="1926"/>
      <c r="S62" s="1926"/>
      <c r="T62" s="1926"/>
      <c r="U62" s="1926"/>
      <c r="V62" s="1926"/>
    </row>
    <row r="63" spans="1:22" ht="14.25" customHeight="1" thickBot="1">
      <c r="A63" s="3490" t="s">
        <v>373</v>
      </c>
      <c r="B63" s="3491"/>
      <c r="C63" s="3492"/>
      <c r="D63" s="341">
        <f ca="1">ROUND(C42*F63,0)</f>
        <v>72109</v>
      </c>
      <c r="E63" s="302" t="s">
        <v>374</v>
      </c>
      <c r="F63" s="342">
        <v>1</v>
      </c>
      <c r="G63" s="343" t="s">
        <v>375</v>
      </c>
      <c r="H63" s="311"/>
      <c r="I63" s="311"/>
      <c r="J63" s="1926"/>
      <c r="K63" s="1926"/>
      <c r="L63" s="1926"/>
      <c r="M63" s="1926"/>
      <c r="N63" s="1926"/>
      <c r="O63" s="1926"/>
      <c r="P63" s="311"/>
      <c r="Q63" s="1926"/>
      <c r="R63" s="1926"/>
      <c r="S63" s="1926"/>
      <c r="T63" s="1926"/>
      <c r="U63" s="1926"/>
      <c r="V63" s="1926"/>
    </row>
    <row r="64" spans="1:22" ht="14.25" customHeight="1">
      <c r="A64" s="3529" t="s">
        <v>377</v>
      </c>
      <c r="B64" s="3530"/>
      <c r="C64" s="3530"/>
      <c r="D64" s="3530"/>
      <c r="E64" s="3530"/>
      <c r="F64" s="3530"/>
      <c r="G64" s="3531"/>
      <c r="H64" s="1288"/>
      <c r="I64" s="948"/>
      <c r="J64" s="1888"/>
      <c r="K64" s="1562" t="s">
        <v>376</v>
      </c>
      <c r="L64" s="11"/>
      <c r="M64" s="11"/>
      <c r="N64" s="11"/>
      <c r="O64" s="11"/>
      <c r="P64" s="311"/>
      <c r="Q64" s="1926"/>
      <c r="R64" s="1926"/>
      <c r="S64" s="1926"/>
      <c r="T64" s="1926"/>
      <c r="U64" s="1926"/>
      <c r="V64" s="1926"/>
    </row>
    <row r="65" spans="1:22" ht="12" customHeight="1">
      <c r="A65" s="344" t="s">
        <v>379</v>
      </c>
      <c r="B65" s="345"/>
      <c r="C65" s="346"/>
      <c r="D65" s="347" t="s">
        <v>380</v>
      </c>
      <c r="E65" s="53" t="s">
        <v>381</v>
      </c>
      <c r="F65" s="348" t="s">
        <v>382</v>
      </c>
      <c r="G65" s="349" t="s">
        <v>383</v>
      </c>
      <c r="H65" s="1288"/>
      <c r="I65" s="948"/>
      <c r="J65" s="1888"/>
      <c r="K65" s="1289"/>
      <c r="L65" s="1290"/>
      <c r="M65" s="1290"/>
      <c r="N65" s="1322" t="s">
        <v>378</v>
      </c>
      <c r="O65" s="1323"/>
      <c r="P65" s="1324"/>
      <c r="Q65" s="1926"/>
      <c r="R65" s="1926"/>
      <c r="S65" s="1926"/>
      <c r="T65" s="1926"/>
      <c r="U65" s="1926"/>
      <c r="V65" s="1926"/>
    </row>
    <row r="66" spans="1:22" ht="25.5">
      <c r="A66" s="3526" t="s">
        <v>385</v>
      </c>
      <c r="B66" s="3497"/>
      <c r="C66" s="3497"/>
      <c r="D66" s="261">
        <f ca="1">IF(H66="情况1",0,IF(H66="情况2",D70,IF(H66="情况3",D71,IF(H66="情况4",D72))))</f>
        <v>3846</v>
      </c>
      <c r="E66" s="993" t="str">
        <f>IF(H66="情况4","(销售额-原购置价)×税（费）率","销售额×税（费）率")</f>
        <v>销售额×税（费）率</v>
      </c>
      <c r="F66" s="350">
        <f>IF(H66="情况1","免征",'数据-取费表'!B41)</f>
        <v>5.6000000000000001E-2</v>
      </c>
      <c r="G66" s="351" t="s">
        <v>386</v>
      </c>
      <c r="H66" s="191" t="s">
        <v>3211</v>
      </c>
      <c r="I66" s="1288"/>
      <c r="J66" s="1932"/>
      <c r="K66" s="1291">
        <v>1</v>
      </c>
      <c r="L66" s="3466" t="s">
        <v>384</v>
      </c>
      <c r="M66" s="3467"/>
      <c r="N66" s="2377"/>
      <c r="O66" s="2378"/>
      <c r="P66" s="2379"/>
      <c r="Q66" s="1926"/>
      <c r="R66" s="1926"/>
      <c r="S66" s="1926"/>
      <c r="T66" s="1926"/>
      <c r="U66" s="1926"/>
      <c r="V66" s="1926"/>
    </row>
    <row r="67" spans="1:22" ht="25.5" customHeight="1">
      <c r="A67" s="352" t="s">
        <v>388</v>
      </c>
      <c r="B67" s="3509" t="s">
        <v>389</v>
      </c>
      <c r="C67" s="3509"/>
      <c r="D67" s="353">
        <v>0</v>
      </c>
      <c r="E67" s="41" t="s">
        <v>390</v>
      </c>
      <c r="F67" s="62" t="s">
        <v>21</v>
      </c>
      <c r="G67" s="3493"/>
      <c r="H67" s="311"/>
      <c r="I67" s="1292"/>
      <c r="J67" s="1933"/>
      <c r="K67" s="1874">
        <v>2</v>
      </c>
      <c r="L67" s="3465" t="s">
        <v>387</v>
      </c>
      <c r="M67" s="3465"/>
      <c r="N67" s="1325">
        <f>'数据-取费表'!B2</f>
        <v>43095</v>
      </c>
      <c r="O67" s="1325"/>
      <c r="P67" s="1325"/>
      <c r="Q67" s="1926"/>
      <c r="R67" s="1926"/>
      <c r="S67" s="1926"/>
      <c r="T67" s="1926"/>
      <c r="U67" s="1926"/>
      <c r="V67" s="1926"/>
    </row>
    <row r="68" spans="1:22" ht="25.5" customHeight="1">
      <c r="A68" s="354"/>
      <c r="B68" s="3509" t="s">
        <v>392</v>
      </c>
      <c r="C68" s="3509"/>
      <c r="D68" s="355"/>
      <c r="E68" s="77"/>
      <c r="F68" s="356"/>
      <c r="G68" s="3494"/>
      <c r="H68" s="311"/>
      <c r="I68" s="1292"/>
      <c r="J68" s="1933"/>
      <c r="K68" s="1874">
        <v>3</v>
      </c>
      <c r="L68" s="3465" t="s">
        <v>391</v>
      </c>
      <c r="M68" s="3465"/>
      <c r="N68" s="1293">
        <f ca="1">C42</f>
        <v>72109</v>
      </c>
      <c r="O68" s="1293"/>
      <c r="P68" s="1293"/>
      <c r="Q68" s="1926"/>
      <c r="R68" s="1926"/>
      <c r="S68" s="1926"/>
      <c r="T68" s="1926"/>
      <c r="U68" s="1926"/>
      <c r="V68" s="1926"/>
    </row>
    <row r="69" spans="1:22" ht="12" customHeight="1">
      <c r="A69" s="357"/>
      <c r="B69" s="3509" t="s">
        <v>393</v>
      </c>
      <c r="C69" s="3509"/>
      <c r="D69" s="358"/>
      <c r="E69" s="73"/>
      <c r="F69" s="356"/>
      <c r="G69" s="3495"/>
      <c r="H69" s="311"/>
      <c r="I69" s="1292"/>
      <c r="J69" s="1933"/>
      <c r="K69" s="1294">
        <v>4</v>
      </c>
      <c r="L69" s="3471" t="s">
        <v>2882</v>
      </c>
      <c r="M69" s="3472"/>
      <c r="N69" s="1295">
        <f ca="1">C44</f>
        <v>72109</v>
      </c>
      <c r="O69" s="1295"/>
      <c r="P69" s="1295"/>
      <c r="Q69" s="1926"/>
      <c r="R69" s="1926"/>
      <c r="S69" s="1926"/>
      <c r="T69" s="1926"/>
      <c r="U69" s="1926"/>
      <c r="V69" s="1926"/>
    </row>
    <row r="70" spans="1:22" ht="24" customHeight="1">
      <c r="A70" s="359" t="s">
        <v>394</v>
      </c>
      <c r="B70" s="3509" t="s">
        <v>395</v>
      </c>
      <c r="C70" s="3509"/>
      <c r="D70" s="358">
        <f ca="1">ROUND(D63*'数据-取费表'!B41/(1+'数据-取费表'!C42),0)</f>
        <v>3846</v>
      </c>
      <c r="E70" s="17" t="s">
        <v>396</v>
      </c>
      <c r="F70" s="360">
        <f>'数据-取费表'!B41</f>
        <v>5.6000000000000001E-2</v>
      </c>
      <c r="G70" s="361"/>
      <c r="H70" s="311"/>
      <c r="I70" s="1292"/>
      <c r="J70" s="1933"/>
      <c r="K70" s="2976"/>
      <c r="L70" s="2977"/>
      <c r="M70" s="2977"/>
      <c r="N70" s="2978" t="s">
        <v>2886</v>
      </c>
      <c r="O70" s="2977"/>
      <c r="P70" s="2979"/>
      <c r="Q70" s="1926"/>
      <c r="R70" s="1926"/>
      <c r="S70" s="1926"/>
      <c r="T70" s="1926"/>
      <c r="U70" s="1926"/>
      <c r="V70" s="1926"/>
    </row>
    <row r="71" spans="1:22" ht="12" customHeight="1">
      <c r="A71" s="359" t="s">
        <v>402</v>
      </c>
      <c r="B71" s="3508" t="s">
        <v>403</v>
      </c>
      <c r="C71" s="3520"/>
      <c r="D71" s="358">
        <f ca="1">ROUND(D63*'数据-取费表'!B41/(1+'数据-取费表'!C42),0)</f>
        <v>3846</v>
      </c>
      <c r="E71" s="17" t="s">
        <v>396</v>
      </c>
      <c r="F71" s="360">
        <f>'数据-取费表'!B41</f>
        <v>5.6000000000000001E-2</v>
      </c>
      <c r="G71" s="361"/>
      <c r="H71" s="311"/>
      <c r="I71" s="1292"/>
      <c r="J71" s="1933"/>
      <c r="K71" s="2975" t="s">
        <v>397</v>
      </c>
      <c r="L71" s="3473" t="s">
        <v>398</v>
      </c>
      <c r="M71" s="3473"/>
      <c r="N71" s="2975" t="s">
        <v>399</v>
      </c>
      <c r="O71" s="2975" t="s">
        <v>400</v>
      </c>
      <c r="P71" s="2975" t="s">
        <v>401</v>
      </c>
      <c r="Q71" s="1926"/>
      <c r="R71" s="1926"/>
      <c r="S71" s="1926"/>
      <c r="T71" s="1926"/>
      <c r="U71" s="1926"/>
      <c r="V71" s="1926"/>
    </row>
    <row r="72" spans="1:22" ht="12" customHeight="1">
      <c r="A72" s="359" t="s">
        <v>405</v>
      </c>
      <c r="B72" s="3508" t="s">
        <v>406</v>
      </c>
      <c r="C72" s="3520"/>
      <c r="D72" s="358">
        <f ca="1">C86</f>
        <v>3846</v>
      </c>
      <c r="E72" s="73" t="s">
        <v>407</v>
      </c>
      <c r="F72" s="360">
        <f>'数据-取费表'!B41</f>
        <v>5.6000000000000001E-2</v>
      </c>
      <c r="G72" s="361"/>
      <c r="H72" s="1298"/>
      <c r="I72" s="1292"/>
      <c r="J72" s="1933"/>
      <c r="K72" s="1874">
        <v>1</v>
      </c>
      <c r="L72" s="3470" t="s">
        <v>404</v>
      </c>
      <c r="M72" s="3470"/>
      <c r="N72" s="1296">
        <f ca="1">D66</f>
        <v>3846</v>
      </c>
      <c r="O72" s="1757" t="str">
        <f>E66</f>
        <v>销售额×税（费）率</v>
      </c>
      <c r="P72" s="1297">
        <f>F66</f>
        <v>5.6000000000000001E-2</v>
      </c>
      <c r="Q72" s="1926"/>
      <c r="R72" s="1926"/>
      <c r="S72" s="1926"/>
      <c r="T72" s="1926"/>
      <c r="U72" s="1926"/>
      <c r="V72" s="1926"/>
    </row>
    <row r="73" spans="1:22" ht="24" customHeight="1">
      <c r="A73" s="3496" t="s">
        <v>409</v>
      </c>
      <c r="B73" s="3497"/>
      <c r="C73" s="3497"/>
      <c r="D73" s="362">
        <f ca="1">IF(H73="个人住宅",0,ROUND(D63*I73,0))</f>
        <v>3605</v>
      </c>
      <c r="E73" s="17" t="s">
        <v>410</v>
      </c>
      <c r="F73" s="360">
        <f>IF(H73="正常",I73,"免征")</f>
        <v>0.05</v>
      </c>
      <c r="G73" s="361"/>
      <c r="H73" s="191" t="s">
        <v>3126</v>
      </c>
      <c r="I73" s="360">
        <f>'数据-取费表'!B49</f>
        <v>0.05</v>
      </c>
      <c r="J73" s="1933"/>
      <c r="K73" s="1874">
        <v>2</v>
      </c>
      <c r="L73" s="3470" t="s">
        <v>408</v>
      </c>
      <c r="M73" s="3470"/>
      <c r="N73" s="1296">
        <f t="shared" ref="N73:P74" ca="1" si="1">D73</f>
        <v>3605</v>
      </c>
      <c r="O73" s="1757" t="str">
        <f t="shared" si="1"/>
        <v>销售额×税（费）率</v>
      </c>
      <c r="P73" s="1297">
        <f t="shared" si="1"/>
        <v>0.05</v>
      </c>
      <c r="Q73" s="1926"/>
      <c r="R73" s="1926"/>
      <c r="S73" s="1926"/>
      <c r="T73" s="1926"/>
      <c r="U73" s="1926"/>
      <c r="V73" s="1926"/>
    </row>
    <row r="74" spans="1:22" ht="24.75">
      <c r="A74" s="3496" t="s">
        <v>412</v>
      </c>
      <c r="B74" s="3497"/>
      <c r="C74" s="3497"/>
      <c r="D74" s="362">
        <f ca="1">IF(H74="个人住宅",D75,D76)</f>
        <v>19099</v>
      </c>
      <c r="E74" s="17" t="s">
        <v>413</v>
      </c>
      <c r="F74" s="360" t="str">
        <f>IF(H74="正常",F76,"免征")</f>
        <v>——</v>
      </c>
      <c r="G74" s="983" t="s">
        <v>414</v>
      </c>
      <c r="H74" s="363" t="s">
        <v>3126</v>
      </c>
      <c r="I74" s="42"/>
      <c r="J74" s="1933"/>
      <c r="K74" s="1874">
        <v>3</v>
      </c>
      <c r="L74" s="3470" t="s">
        <v>411</v>
      </c>
      <c r="M74" s="3470"/>
      <c r="N74" s="1296">
        <f t="shared" ca="1" si="1"/>
        <v>19099</v>
      </c>
      <c r="O74" s="1757" t="str">
        <f t="shared" si="1"/>
        <v>增值额×税（费）率</v>
      </c>
      <c r="P74" s="1299" t="str">
        <f t="shared" si="1"/>
        <v>——</v>
      </c>
      <c r="Q74" s="1926"/>
      <c r="R74" s="1926"/>
      <c r="S74" s="1926"/>
      <c r="T74" s="1926"/>
      <c r="U74" s="1926"/>
      <c r="V74" s="1926"/>
    </row>
    <row r="75" spans="1:22" ht="12.75">
      <c r="A75" s="359" t="s">
        <v>415</v>
      </c>
      <c r="B75" s="3477" t="s">
        <v>416</v>
      </c>
      <c r="C75" s="3478"/>
      <c r="D75" s="364">
        <v>0</v>
      </c>
      <c r="E75" s="41" t="s">
        <v>417</v>
      </c>
      <c r="F75" s="365"/>
      <c r="G75" s="361"/>
      <c r="H75" s="42"/>
      <c r="I75" s="42"/>
      <c r="J75" s="1933"/>
      <c r="K75" s="2969" t="str">
        <f>IF(H77="非个人房产","",4)</f>
        <v/>
      </c>
      <c r="L75" s="3470" t="str">
        <f>IF(H77="非个人房产","——","个人所得税")</f>
        <v>——</v>
      </c>
      <c r="M75" s="3470"/>
      <c r="N75" s="1300" t="str">
        <f>D77</f>
        <v>——</v>
      </c>
      <c r="O75" s="1770" t="str">
        <f>E77</f>
        <v>——</v>
      </c>
      <c r="P75" s="1301" t="str">
        <f>F77</f>
        <v>——</v>
      </c>
      <c r="Q75" s="1926"/>
      <c r="R75" s="1926"/>
      <c r="S75" s="1926"/>
      <c r="T75" s="1926"/>
      <c r="U75" s="1926"/>
      <c r="V75" s="1926"/>
    </row>
    <row r="76" spans="1:22" ht="24.75">
      <c r="A76" s="359" t="s">
        <v>394</v>
      </c>
      <c r="B76" s="3477" t="s">
        <v>419</v>
      </c>
      <c r="C76" s="3519"/>
      <c r="D76" s="362">
        <f ca="1">IF(H76="转让取得",C99,C115)</f>
        <v>19099</v>
      </c>
      <c r="E76" s="17" t="s">
        <v>420</v>
      </c>
      <c r="F76" s="53" t="s">
        <v>21</v>
      </c>
      <c r="G76" s="361"/>
      <c r="H76" s="363" t="s">
        <v>421</v>
      </c>
      <c r="I76" s="42"/>
      <c r="J76" s="1933"/>
      <c r="K76" s="2969" t="str">
        <f>IF(项目基本情况!K6="上海银行",IF(K75="",4,K75+1),"")</f>
        <v/>
      </c>
      <c r="L76" s="3458" t="str">
        <f>IF(项目基本情况!K6="上海银行","其他处置费用","")</f>
        <v/>
      </c>
      <c r="M76" s="3459"/>
      <c r="N76" s="1296" t="str">
        <f>IF(项目基本情况!K6="上海银行",N89,"")</f>
        <v/>
      </c>
      <c r="O76" s="3460" t="str">
        <f>IF(项目基本情况!K6="上海银行","包含处置中涉及的律师、诉讼、拍卖、评估等费用","")</f>
        <v/>
      </c>
      <c r="P76" s="3461"/>
      <c r="Q76" s="1926"/>
      <c r="R76" s="1926"/>
      <c r="S76" s="1926"/>
      <c r="T76" s="1926"/>
      <c r="U76" s="1926"/>
      <c r="V76" s="1926"/>
    </row>
    <row r="77" spans="1:22" ht="24.75" thickBot="1">
      <c r="A77" s="3488" t="s">
        <v>423</v>
      </c>
      <c r="B77" s="3489"/>
      <c r="C77" s="3489"/>
      <c r="D77" s="366" t="str">
        <f>IF(H77="非个人房产","——",IF(H77="个人住宅",0,ROUND(D63*I77,0)))</f>
        <v>——</v>
      </c>
      <c r="E77" s="367" t="str">
        <f>IF(H77="非个人房产","——","销售额×税（费）率")</f>
        <v>——</v>
      </c>
      <c r="F77" s="368" t="str">
        <f>IF(H77="非个人房产","——",IF(H77="个人住宅","免征",I77))</f>
        <v>——</v>
      </c>
      <c r="G77" s="984" t="s">
        <v>414</v>
      </c>
      <c r="H77" s="363" t="s">
        <v>3212</v>
      </c>
      <c r="I77" s="369">
        <v>0.01</v>
      </c>
      <c r="J77" s="1933"/>
      <c r="K77" s="3484">
        <f>IF(AND(K75="",K76=""),4,IF(项目基本情况!K6="上海银行",K76+1,K75+1))</f>
        <v>4</v>
      </c>
      <c r="L77" s="3470" t="s">
        <v>2883</v>
      </c>
      <c r="M77" s="2974" t="s">
        <v>418</v>
      </c>
      <c r="N77" s="1302"/>
      <c r="O77" s="1303">
        <f ca="1">SUMIF(N72:N76,"&lt;9e307")</f>
        <v>26550</v>
      </c>
      <c r="P77" s="1304"/>
      <c r="Q77" s="2972">
        <f ca="1">O77/N69</f>
        <v>0.36819259731794923</v>
      </c>
      <c r="R77" s="1926"/>
      <c r="S77" s="1926"/>
      <c r="T77" s="1926"/>
      <c r="U77" s="1926"/>
      <c r="V77" s="1926"/>
    </row>
    <row r="78" spans="1:22" ht="12" customHeight="1">
      <c r="A78" s="1305"/>
      <c r="B78" s="311"/>
      <c r="C78" s="311"/>
      <c r="D78" s="311"/>
      <c r="E78" s="42"/>
      <c r="F78" s="42"/>
      <c r="G78" s="42"/>
      <c r="H78" s="1003"/>
      <c r="I78" s="311"/>
      <c r="J78" s="1933"/>
      <c r="K78" s="3484"/>
      <c r="L78" s="3470"/>
      <c r="M78" s="2974" t="s">
        <v>422</v>
      </c>
      <c r="N78" s="1302"/>
      <c r="O78" s="1303" t="str">
        <f ca="1">NUMBERSTRING(INT(O77*10000),2)&amp;"元整"</f>
        <v>贰亿陆仟伍佰伍拾万元整</v>
      </c>
      <c r="P78" s="1304"/>
      <c r="Q78" s="1926"/>
      <c r="R78" s="1926"/>
      <c r="S78" s="1926"/>
      <c r="T78" s="1926"/>
      <c r="U78" s="1926"/>
      <c r="V78" s="1926"/>
    </row>
    <row r="79" spans="1:22" ht="13.5" thickBot="1">
      <c r="A79" s="3474" t="s">
        <v>424</v>
      </c>
      <c r="B79" s="3474"/>
      <c r="C79" s="3474"/>
      <c r="D79" s="3474"/>
      <c r="E79" s="3474"/>
      <c r="F79" s="42"/>
      <c r="G79" s="42"/>
      <c r="H79" s="1003"/>
      <c r="I79" s="311"/>
      <c r="J79" s="1933"/>
      <c r="K79" s="3468">
        <f>K77+1</f>
        <v>5</v>
      </c>
      <c r="L79" s="3470" t="s">
        <v>2884</v>
      </c>
      <c r="M79" s="2974" t="s">
        <v>418</v>
      </c>
      <c r="N79" s="1302"/>
      <c r="O79" s="1303">
        <f ca="1">N69-O77</f>
        <v>45559</v>
      </c>
      <c r="P79" s="1304"/>
      <c r="Q79" s="1926"/>
      <c r="R79" s="1926"/>
      <c r="S79" s="1926"/>
      <c r="T79" s="1926"/>
      <c r="U79" s="1926"/>
      <c r="V79" s="1926"/>
    </row>
    <row r="80" spans="1:22" ht="25.5">
      <c r="A80" s="3475" t="s">
        <v>425</v>
      </c>
      <c r="B80" s="3476"/>
      <c r="C80" s="994"/>
      <c r="D80" s="994" t="s">
        <v>426</v>
      </c>
      <c r="E80" s="370" t="s">
        <v>427</v>
      </c>
      <c r="F80" s="42"/>
      <c r="G80" s="42"/>
      <c r="H80" s="1003"/>
      <c r="I80" s="311"/>
      <c r="J80" s="1926"/>
      <c r="K80" s="3469"/>
      <c r="L80" s="3470"/>
      <c r="M80" s="2974" t="s">
        <v>422</v>
      </c>
      <c r="N80" s="1302"/>
      <c r="O80" s="1303" t="str">
        <f ca="1">NUMBERSTRING(INT(O79*10000),2)&amp;"元整"</f>
        <v>肆亿伍仟伍佰伍拾玖万元整</v>
      </c>
      <c r="P80" s="1304"/>
      <c r="Q80" s="1926"/>
      <c r="R80" s="1926"/>
      <c r="S80" s="1926"/>
      <c r="T80" s="1926"/>
      <c r="U80" s="1926"/>
      <c r="V80" s="1926"/>
    </row>
    <row r="81" spans="1:26" ht="13.5" thickBot="1">
      <c r="A81" s="381" t="s">
        <v>1822</v>
      </c>
      <c r="B81" s="371" t="s">
        <v>428</v>
      </c>
      <c r="C81" s="372">
        <f ca="1">ROUND((C82+C83)/(1+'数据-取费表'!C42),0)</f>
        <v>68675</v>
      </c>
      <c r="D81" s="373"/>
      <c r="E81" s="374"/>
      <c r="F81" s="42"/>
      <c r="G81" s="42"/>
      <c r="H81" s="1003"/>
      <c r="I81" s="311"/>
      <c r="J81" s="1926"/>
      <c r="K81" s="2969">
        <f>K79+1</f>
        <v>6</v>
      </c>
      <c r="L81" s="3482" t="s">
        <v>2885</v>
      </c>
      <c r="M81" s="3483"/>
      <c r="N81" s="1306"/>
      <c r="O81" s="1307">
        <f ca="1">ROUND(O79*10000/'数据-汇总表'!E3,0)</f>
        <v>2953</v>
      </c>
      <c r="P81" s="1308"/>
      <c r="Q81" s="1926"/>
      <c r="R81" s="1926"/>
      <c r="S81" s="1926"/>
      <c r="T81" s="1926"/>
      <c r="U81" s="1926"/>
      <c r="V81" s="1926"/>
    </row>
    <row r="82" spans="1:26" ht="13.5" thickTop="1">
      <c r="A82" s="375" t="s">
        <v>1823</v>
      </c>
      <c r="B82" s="376" t="s">
        <v>429</v>
      </c>
      <c r="C82" s="377">
        <f ca="1">D63</f>
        <v>72109</v>
      </c>
      <c r="D82" s="378" t="s">
        <v>19</v>
      </c>
      <c r="E82" s="379"/>
      <c r="F82" s="42"/>
      <c r="G82" s="42"/>
      <c r="H82" s="1003"/>
      <c r="I82" s="311"/>
      <c r="J82" s="1926"/>
      <c r="K82" s="1926"/>
      <c r="L82" s="1926"/>
      <c r="M82" s="1926"/>
      <c r="N82" s="1926"/>
      <c r="O82" s="1926"/>
      <c r="P82" s="1926"/>
      <c r="Q82" s="1926"/>
      <c r="R82" s="1926"/>
      <c r="S82" s="1926"/>
      <c r="T82" s="1926"/>
      <c r="U82" s="1926"/>
      <c r="V82" s="1926"/>
    </row>
    <row r="83" spans="1:26" ht="12.75">
      <c r="A83" s="375" t="s">
        <v>1824</v>
      </c>
      <c r="B83" s="376" t="s">
        <v>430</v>
      </c>
      <c r="C83" s="380"/>
      <c r="D83" s="378"/>
      <c r="E83" s="379"/>
      <c r="F83" s="42"/>
      <c r="G83" s="42"/>
      <c r="H83" s="1003"/>
      <c r="I83" s="311"/>
      <c r="J83" s="1926"/>
      <c r="K83" s="3457" t="s">
        <v>2873</v>
      </c>
      <c r="L83" s="2980" t="s">
        <v>2874</v>
      </c>
      <c r="M83" s="2970">
        <f ca="1">IF(N69&gt;10000,N69*0.5%,IF(AND(N69&gt;1000,N69&lt;=10000),N69*1%,IF(AND(N69&gt;100,N69&lt;=1000),N69*3%,IF(AND(N69&gt;10,N69&lt;=100),N69*5%,N69*8%))))</f>
        <v>360.54500000000002</v>
      </c>
      <c r="N83" s="53">
        <f ca="1">ROUND(M83,1)</f>
        <v>360.5</v>
      </c>
      <c r="O83" s="2973"/>
      <c r="P83" s="1926"/>
      <c r="Q83" s="1926"/>
      <c r="R83" s="1926"/>
      <c r="S83" s="1926"/>
      <c r="T83" s="1926"/>
      <c r="U83" s="1926"/>
      <c r="V83" s="1926"/>
    </row>
    <row r="84" spans="1:26" ht="12.75">
      <c r="A84" s="381" t="s">
        <v>1825</v>
      </c>
      <c r="B84" s="382" t="s">
        <v>431</v>
      </c>
      <c r="C84" s="383"/>
      <c r="D84" s="384" t="s">
        <v>19</v>
      </c>
      <c r="E84" s="3010" t="s">
        <v>2929</v>
      </c>
      <c r="F84" s="42"/>
      <c r="G84" s="42"/>
      <c r="H84" s="1003"/>
      <c r="I84" s="311"/>
      <c r="J84" s="1926"/>
      <c r="K84" s="3457"/>
      <c r="L84" s="2980" t="s">
        <v>2875</v>
      </c>
      <c r="M84" s="2970">
        <f ca="1">IF(N69&gt;2000,N69*0.5%,IF(AND(N69&gt;1000,N69&lt;=2000),N69*0.6%,IF(AND(N69&gt;500,N69&lt;=1000),N69*0.7%,IF(AND(N69&gt;200,N69&lt;=500),N69*0.8%,IF(AND(N69&gt;100,N69&lt;=200),N69*0.9%,IF(AND(N69&gt;50,N69&lt;=100),N69*1%,IF(AND(N69&gt;20,N69&lt;=50),N69*1.5%,IF(AND(N69&gt;10,N69&lt;=20),N69*2%,IF(AND(N69&gt;1,N69&lt;=10),N69*2.5%)))))))))</f>
        <v>360.54500000000002</v>
      </c>
      <c r="N84" s="53">
        <f t="shared" ref="N84:N85" ca="1" si="2">ROUND(M84,1)</f>
        <v>360.5</v>
      </c>
      <c r="O84" s="1926" t="s">
        <v>2876</v>
      </c>
      <c r="P84" s="1926"/>
      <c r="Q84" s="1926"/>
      <c r="R84" s="1926"/>
      <c r="S84" s="1926"/>
      <c r="T84" s="1926"/>
      <c r="U84" s="1926"/>
      <c r="V84" s="1926"/>
    </row>
    <row r="85" spans="1:26" ht="12.75">
      <c r="A85" s="381" t="s">
        <v>1826</v>
      </c>
      <c r="B85" s="382" t="s">
        <v>432</v>
      </c>
      <c r="C85" s="385">
        <f ca="1">C81-C84</f>
        <v>68675</v>
      </c>
      <c r="D85" s="378" t="s">
        <v>19</v>
      </c>
      <c r="E85" s="379"/>
      <c r="F85" s="42"/>
      <c r="G85" s="42"/>
      <c r="H85" s="1003"/>
      <c r="I85" s="311"/>
      <c r="J85" s="1926"/>
      <c r="K85" s="3457"/>
      <c r="L85" s="2980" t="s">
        <v>2877</v>
      </c>
      <c r="M85" s="2970">
        <f ca="1">IF(N69&gt;1000,N69*0.1%,IF(AND(N69&gt;500,N69&lt;=1000),N69*0.5%,IF(AND(N69&gt;50,N69&lt;=500),N69*1%,IF(AND(N69&gt;1,N69&lt;=50),N69*1.5%))))</f>
        <v>72.108999999999995</v>
      </c>
      <c r="N85" s="53">
        <f t="shared" ca="1" si="2"/>
        <v>72.099999999999994</v>
      </c>
      <c r="O85" s="1926" t="s">
        <v>2876</v>
      </c>
      <c r="P85" s="1926"/>
      <c r="Q85" s="1926"/>
      <c r="R85" s="1926"/>
      <c r="S85" s="1926"/>
      <c r="T85" s="1926"/>
      <c r="U85" s="1926"/>
      <c r="V85" s="1926"/>
    </row>
    <row r="86" spans="1:26" ht="13.5" thickBot="1">
      <c r="A86" s="386" t="s">
        <v>1827</v>
      </c>
      <c r="B86" s="387" t="s">
        <v>433</v>
      </c>
      <c r="C86" s="388">
        <f ca="1">IF(C85&lt;=0,0,ROUND(C85*D86,0))</f>
        <v>3846</v>
      </c>
      <c r="D86" s="389">
        <f>'数据-取费表'!B41</f>
        <v>5.6000000000000001E-2</v>
      </c>
      <c r="E86" s="390"/>
      <c r="F86" s="42"/>
      <c r="G86" s="42"/>
      <c r="H86" s="1003"/>
      <c r="I86" s="311"/>
      <c r="J86" s="1926"/>
      <c r="K86" s="3457"/>
      <c r="L86" s="2980" t="s">
        <v>2878</v>
      </c>
      <c r="M86" s="2970">
        <f ca="1">N69*0.5%</f>
        <v>360.54500000000002</v>
      </c>
      <c r="N86" s="53">
        <f ca="1">IF(M86&gt;0.5,0.5,ROUND(M86,0))</f>
        <v>0.5</v>
      </c>
      <c r="O86" s="1926" t="s">
        <v>2879</v>
      </c>
      <c r="P86" s="1926"/>
      <c r="Q86" s="1926"/>
      <c r="R86" s="1926"/>
      <c r="S86" s="1926"/>
      <c r="T86" s="1926"/>
      <c r="U86" s="1926"/>
      <c r="V86" s="1926"/>
    </row>
    <row r="87" spans="1:26" s="1254" customFormat="1" ht="14.25" customHeight="1">
      <c r="A87" s="1309"/>
      <c r="B87" s="1310"/>
      <c r="C87" s="1311"/>
      <c r="D87" s="1312"/>
      <c r="E87" s="1313"/>
      <c r="F87" s="42"/>
      <c r="G87" s="42"/>
      <c r="H87" s="1003"/>
      <c r="I87" s="311"/>
      <c r="J87" s="1926"/>
      <c r="K87" s="3457"/>
      <c r="L87" s="2980" t="s">
        <v>2880</v>
      </c>
      <c r="M87" s="2970">
        <f ca="1">IF(N69&gt;=10000,(8.25+(N69-10000)*0.01%),IF(AND(N69&gt;=8000,N69&lt;10000),(7.85+(N69-8000)*0.02%),IF(AND(N69&gt;=5000,N69&lt;8000),(6.65+(N69-5000)*0.04%),IF(AND(N69&gt;=2000,N69&lt;5000),(4.25+(PN69-2000)*0.08%),IF(AND(N69&gt;=1000,N69&lt;2000),(2.75+(N69-1000)*0.15%),IF(AND(N69&gt;=100,N69&lt;1000),(0.5+(N69-100)*0.25%),IF(AND(N69&gt;0,N69&lt;100),N69*0.5%)))))))</f>
        <v>14.460900000000001</v>
      </c>
      <c r="N87" s="53">
        <f ca="1">ROUND(M87*0.9,1)</f>
        <v>13</v>
      </c>
      <c r="O87" s="2973"/>
      <c r="P87" s="311"/>
      <c r="Q87" s="1926"/>
      <c r="R87" s="1926"/>
      <c r="S87" s="1926"/>
      <c r="T87" s="1926"/>
      <c r="U87" s="1926"/>
      <c r="V87" s="1926"/>
      <c r="W87" s="292"/>
      <c r="X87" s="292"/>
      <c r="Y87" s="292"/>
      <c r="Z87" s="292"/>
    </row>
    <row r="88" spans="1:26" s="1314" customFormat="1" ht="15" thickBot="1">
      <c r="A88" s="3511" t="s">
        <v>434</v>
      </c>
      <c r="B88" s="3512"/>
      <c r="C88" s="3512"/>
      <c r="D88" s="3512"/>
      <c r="E88" s="3512"/>
      <c r="F88" s="3512"/>
      <c r="G88" s="3512"/>
      <c r="H88" s="3512"/>
      <c r="I88" s="1315"/>
      <c r="J88" s="1934"/>
      <c r="K88" s="3457"/>
      <c r="L88" s="2980" t="s">
        <v>2881</v>
      </c>
      <c r="M88" s="2970">
        <f ca="1">IF(N69&gt;10000,N69*0.5%,IF(AND(N69&gt;5000,N69&lt;=10000),N69*1%,IF(AND(N69&gt;1000,N69&lt;=5000),N69*2%,IF(AND(N69&gt;200,N69&lt;=1000),N69*3%,N69*5%))))</f>
        <v>360.54500000000002</v>
      </c>
      <c r="N88" s="53">
        <f ca="1">ROUND(M88,1)</f>
        <v>360.5</v>
      </c>
      <c r="O88" s="2973"/>
      <c r="P88" s="11"/>
      <c r="Q88" s="1931"/>
      <c r="R88" s="1931"/>
      <c r="S88" s="1931"/>
      <c r="T88" s="1931"/>
      <c r="U88" s="1931"/>
      <c r="V88" s="1931"/>
      <c r="W88" s="1935"/>
      <c r="X88" s="1935"/>
      <c r="Y88" s="1935"/>
      <c r="Z88" s="1935"/>
    </row>
    <row r="89" spans="1:26" s="1314" customFormat="1" ht="14.25">
      <c r="A89" s="3475" t="s">
        <v>425</v>
      </c>
      <c r="B89" s="3476"/>
      <c r="C89" s="994"/>
      <c r="D89" s="994" t="s">
        <v>426</v>
      </c>
      <c r="E89" s="391" t="s">
        <v>435</v>
      </c>
      <c r="F89" s="392"/>
      <c r="G89" s="392"/>
      <c r="H89" s="393"/>
      <c r="I89" s="1316"/>
      <c r="J89" s="1936"/>
      <c r="K89" s="3457"/>
      <c r="L89" s="2980" t="s">
        <v>27</v>
      </c>
      <c r="M89" s="2971"/>
      <c r="N89" s="53">
        <f ca="1">ROUND(SUM(N83:N88),0)</f>
        <v>1167</v>
      </c>
      <c r="O89" s="2981">
        <f ca="1">N89/N69</f>
        <v>1.6183832808664662E-2</v>
      </c>
      <c r="P89" s="1931"/>
      <c r="Q89" s="1931"/>
      <c r="R89" s="1931"/>
      <c r="S89" s="1931"/>
      <c r="T89" s="1931"/>
      <c r="U89" s="1931"/>
      <c r="V89" s="1931"/>
      <c r="W89" s="1935"/>
      <c r="X89" s="1935"/>
      <c r="Y89" s="1935"/>
      <c r="Z89" s="1935"/>
    </row>
    <row r="90" spans="1:26" s="1314" customFormat="1" ht="14.25">
      <c r="A90" s="381" t="s">
        <v>1822</v>
      </c>
      <c r="B90" s="382" t="s">
        <v>436</v>
      </c>
      <c r="C90" s="385">
        <f ca="1">ROUND(D63/(1+'数据-取费表'!C42),0)</f>
        <v>68675</v>
      </c>
      <c r="D90" s="378" t="s">
        <v>19</v>
      </c>
      <c r="E90" s="991"/>
      <c r="F90" s="990"/>
      <c r="G90" s="990"/>
      <c r="H90" s="394"/>
      <c r="I90" s="1316"/>
      <c r="J90" s="1936"/>
      <c r="K90" s="1931"/>
      <c r="L90" s="1931"/>
      <c r="M90" s="1931"/>
      <c r="N90" s="1931"/>
      <c r="O90" s="1931"/>
      <c r="P90" s="1931"/>
      <c r="Q90" s="1931"/>
      <c r="R90" s="1931"/>
      <c r="S90" s="1931"/>
      <c r="T90" s="1931"/>
      <c r="U90" s="1931"/>
      <c r="V90" s="1931"/>
      <c r="W90" s="1935"/>
      <c r="X90" s="1935"/>
      <c r="Y90" s="1935"/>
      <c r="Z90" s="1935"/>
    </row>
    <row r="91" spans="1:26" s="1314" customFormat="1" ht="14.25">
      <c r="A91" s="381" t="s">
        <v>1828</v>
      </c>
      <c r="B91" s="348" t="s">
        <v>437</v>
      </c>
      <c r="C91" s="385">
        <f ca="1">C92+C96</f>
        <v>412</v>
      </c>
      <c r="D91" s="378" t="s">
        <v>19</v>
      </c>
      <c r="E91" s="991"/>
      <c r="F91" s="990"/>
      <c r="G91" s="990"/>
      <c r="H91" s="394"/>
      <c r="I91" s="1316"/>
      <c r="J91" s="1936"/>
      <c r="K91" s="1931"/>
      <c r="L91" s="1931"/>
      <c r="M91" s="1931"/>
      <c r="N91" s="1931"/>
      <c r="O91" s="1931"/>
      <c r="P91" s="1931"/>
      <c r="Q91" s="1931"/>
      <c r="R91" s="1931"/>
      <c r="S91" s="1931"/>
      <c r="T91" s="1931"/>
      <c r="U91" s="1931"/>
      <c r="V91" s="1931"/>
      <c r="W91" s="1935"/>
      <c r="X91" s="1935"/>
      <c r="Y91" s="1935"/>
      <c r="Z91" s="1935"/>
    </row>
    <row r="92" spans="1:26" s="1314" customFormat="1" ht="24">
      <c r="A92" s="395" t="s">
        <v>1829</v>
      </c>
      <c r="B92" s="376" t="s">
        <v>438</v>
      </c>
      <c r="C92" s="378">
        <f>ROUND(IF(G95="2016年5月1日后购买",C93/(1+'数据-取费表'!C30)+C94+C95,C93+C94+C95),0)</f>
        <v>0</v>
      </c>
      <c r="D92" s="378" t="s">
        <v>19</v>
      </c>
      <c r="E92" s="991"/>
      <c r="F92" s="990"/>
      <c r="G92" s="990"/>
      <c r="H92" s="394"/>
      <c r="I92" s="1316"/>
      <c r="J92" s="1936"/>
      <c r="K92" s="1931"/>
      <c r="L92" s="1931"/>
      <c r="M92" s="1931"/>
      <c r="N92" s="1931"/>
      <c r="O92" s="1931"/>
      <c r="P92" s="1931"/>
      <c r="Q92" s="1931"/>
      <c r="R92" s="1931"/>
      <c r="S92" s="1931"/>
      <c r="T92" s="1931"/>
      <c r="U92" s="1931"/>
      <c r="V92" s="1931"/>
      <c r="W92" s="1935"/>
      <c r="X92" s="1935"/>
      <c r="Y92" s="1935"/>
      <c r="Z92" s="1935"/>
    </row>
    <row r="93" spans="1:26" s="1314" customFormat="1" ht="14.25">
      <c r="A93" s="395" t="s">
        <v>1830</v>
      </c>
      <c r="B93" s="376" t="s">
        <v>439</v>
      </c>
      <c r="C93" s="396"/>
      <c r="D93" s="378" t="s">
        <v>19</v>
      </c>
      <c r="E93" s="397" t="s">
        <v>440</v>
      </c>
      <c r="F93" s="398" t="s">
        <v>441</v>
      </c>
      <c r="G93" s="397" t="s">
        <v>442</v>
      </c>
      <c r="H93" s="399">
        <v>5</v>
      </c>
      <c r="I93" s="11"/>
      <c r="J93" s="1931"/>
      <c r="K93" s="1931"/>
      <c r="L93" s="1931"/>
      <c r="M93" s="1931"/>
      <c r="N93" s="1931"/>
      <c r="O93" s="1931"/>
      <c r="P93" s="1931"/>
      <c r="Q93" s="1931"/>
      <c r="R93" s="1931"/>
      <c r="S93" s="1931"/>
      <c r="T93" s="1931"/>
      <c r="U93" s="1931"/>
      <c r="V93" s="1931"/>
      <c r="W93" s="1935"/>
      <c r="X93" s="1935"/>
      <c r="Y93" s="1935"/>
      <c r="Z93" s="1935"/>
    </row>
    <row r="94" spans="1:26" s="1314" customFormat="1" ht="24.75" customHeight="1">
      <c r="A94" s="395" t="s">
        <v>1831</v>
      </c>
      <c r="B94" s="400" t="s">
        <v>443</v>
      </c>
      <c r="C94" s="378">
        <f>IF(F93="购房发票",ROUND(C93*H93*5%,0),0)</f>
        <v>0</v>
      </c>
      <c r="D94" s="401">
        <v>0.05</v>
      </c>
      <c r="E94" s="3508" t="s">
        <v>444</v>
      </c>
      <c r="F94" s="3509"/>
      <c r="G94" s="3509"/>
      <c r="H94" s="3510"/>
      <c r="I94" s="1316"/>
      <c r="J94" s="1936"/>
      <c r="K94" s="1931"/>
      <c r="L94" s="1931"/>
      <c r="M94" s="1931"/>
      <c r="N94" s="1931"/>
      <c r="O94" s="1931"/>
      <c r="P94" s="1931"/>
      <c r="Q94" s="1931"/>
      <c r="R94" s="1931"/>
      <c r="S94" s="1931"/>
      <c r="T94" s="1931"/>
      <c r="U94" s="1931"/>
      <c r="V94" s="1931"/>
      <c r="W94" s="1935"/>
      <c r="X94" s="1935"/>
      <c r="Y94" s="1935"/>
      <c r="Z94" s="1935"/>
    </row>
    <row r="95" spans="1:26" s="1314" customFormat="1" ht="24.75" customHeight="1">
      <c r="A95" s="395" t="s">
        <v>1832</v>
      </c>
      <c r="B95" s="376" t="s">
        <v>445</v>
      </c>
      <c r="C95" s="378">
        <f>ROUND(IF(G95="个人买卖住房",0,IF(G95="2016年5月1日前购买",C93*D95,C93*D95/(1+'数据-取费表'!C42))),0)</f>
        <v>0</v>
      </c>
      <c r="D95" s="402">
        <f>'数据-取费表'!B48+'数据-取费表'!B49</f>
        <v>0.08</v>
      </c>
      <c r="E95" s="26" t="s">
        <v>446</v>
      </c>
      <c r="F95" s="403"/>
      <c r="G95" s="404" t="s">
        <v>2425</v>
      </c>
      <c r="H95" s="999" t="str">
        <f>IF(G95="个人买卖住房","免征印花税"," ")</f>
        <v xml:space="preserve"> </v>
      </c>
      <c r="I95" s="1316"/>
      <c r="J95" s="1936"/>
      <c r="K95" s="1931"/>
      <c r="L95" s="1931"/>
      <c r="M95" s="1931"/>
      <c r="N95" s="1931"/>
      <c r="O95" s="1931"/>
      <c r="P95" s="1931"/>
      <c r="Q95" s="1931"/>
      <c r="R95" s="1931"/>
      <c r="S95" s="1931"/>
      <c r="T95" s="1931"/>
      <c r="U95" s="1931"/>
      <c r="V95" s="1931"/>
      <c r="W95" s="1935"/>
      <c r="X95" s="1935"/>
      <c r="Y95" s="1935"/>
      <c r="Z95" s="1935"/>
    </row>
    <row r="96" spans="1:26" s="1314" customFormat="1" ht="24.75" customHeight="1">
      <c r="A96" s="395" t="s">
        <v>1833</v>
      </c>
      <c r="B96" s="376" t="s">
        <v>447</v>
      </c>
      <c r="C96" s="405">
        <f ca="1">ROUND(D63*D96/(1+'数据-取费表'!C42),0)</f>
        <v>412</v>
      </c>
      <c r="D96" s="406">
        <f>'数据-取费表'!B43</f>
        <v>6.000000000000001E-3</v>
      </c>
      <c r="E96" s="3498" t="s">
        <v>2424</v>
      </c>
      <c r="F96" s="3499"/>
      <c r="G96" s="3499"/>
      <c r="H96" s="3500"/>
      <c r="I96" s="1317"/>
      <c r="J96" s="1937"/>
      <c r="K96" s="1931"/>
      <c r="L96" s="1931"/>
      <c r="M96" s="1931"/>
      <c r="N96" s="1931"/>
      <c r="O96" s="1931"/>
      <c r="P96" s="1931"/>
      <c r="Q96" s="1931"/>
      <c r="R96" s="1931"/>
      <c r="S96" s="1931"/>
      <c r="T96" s="1931"/>
      <c r="U96" s="1931"/>
      <c r="V96" s="1931"/>
      <c r="W96" s="1935"/>
      <c r="X96" s="1935"/>
      <c r="Y96" s="1935"/>
      <c r="Z96" s="1935"/>
    </row>
    <row r="97" spans="1:26" s="1314" customFormat="1" ht="14.25">
      <c r="A97" s="1618" t="s">
        <v>1834</v>
      </c>
      <c r="B97" s="382" t="s">
        <v>448</v>
      </c>
      <c r="C97" s="385">
        <f ca="1">C90-C91</f>
        <v>68263</v>
      </c>
      <c r="D97" s="378" t="s">
        <v>19</v>
      </c>
      <c r="E97" s="991"/>
      <c r="F97" s="990"/>
      <c r="G97" s="990"/>
      <c r="H97" s="394"/>
      <c r="I97" s="1316"/>
      <c r="J97" s="1936"/>
      <c r="K97" s="1931"/>
      <c r="L97" s="1931"/>
      <c r="M97" s="1931"/>
      <c r="N97" s="1931"/>
      <c r="O97" s="1931"/>
      <c r="P97" s="1931"/>
      <c r="Q97" s="1931"/>
      <c r="R97" s="1931"/>
      <c r="S97" s="1931"/>
      <c r="T97" s="1931"/>
      <c r="U97" s="1931"/>
      <c r="V97" s="1931"/>
      <c r="W97" s="1935"/>
      <c r="X97" s="1935"/>
      <c r="Y97" s="1935"/>
      <c r="Z97" s="1935"/>
    </row>
    <row r="98" spans="1:26" s="1314" customFormat="1" ht="24">
      <c r="A98" s="1618" t="s">
        <v>1835</v>
      </c>
      <c r="B98" s="382" t="s">
        <v>449</v>
      </c>
      <c r="C98" s="407">
        <f ca="1">IF(C97&lt;=0,0,C97/C91)</f>
        <v>165.6868932038835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1936"/>
      <c r="K98" s="1931"/>
      <c r="L98" s="1931"/>
      <c r="M98" s="1931"/>
      <c r="N98" s="1931"/>
      <c r="O98" s="1931"/>
      <c r="P98" s="1931"/>
      <c r="Q98" s="1931"/>
      <c r="R98" s="1931"/>
      <c r="S98" s="1931"/>
      <c r="T98" s="1931"/>
      <c r="U98" s="1931"/>
      <c r="V98" s="1931"/>
      <c r="W98" s="1935"/>
      <c r="X98" s="1935"/>
      <c r="Y98" s="1935"/>
      <c r="Z98" s="1935"/>
    </row>
    <row r="99" spans="1:26" s="1314" customFormat="1" ht="24.75" thickBot="1">
      <c r="A99" s="1619" t="s">
        <v>1836</v>
      </c>
      <c r="B99" s="387" t="s">
        <v>450</v>
      </c>
      <c r="C99" s="408">
        <f ca="1">ROUND(IF(C97&lt;=0,0,IF(C98&gt;=200%,C97*60%-C91*35%,IF(C98&gt;=100%,C97*50%-C91*15%,IF(C98&gt;=50%,C97*40%-C91*5%,IF(C98&lt;50%,C97*30%,0))))),0)</f>
        <v>40814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1936"/>
      <c r="K99" s="1931"/>
      <c r="L99" s="1931"/>
      <c r="M99" s="1931"/>
      <c r="N99" s="1931"/>
      <c r="O99" s="1931"/>
      <c r="P99" s="1931"/>
      <c r="Q99" s="1931"/>
      <c r="R99" s="1931"/>
      <c r="S99" s="1931"/>
      <c r="T99" s="1931"/>
      <c r="U99" s="1931"/>
      <c r="V99" s="1931"/>
      <c r="W99" s="1935"/>
      <c r="X99" s="1935"/>
      <c r="Y99" s="1935"/>
      <c r="Z99" s="1935"/>
    </row>
    <row r="100" spans="1:26" s="1314" customFormat="1" ht="7.5" customHeight="1">
      <c r="A100" s="1318"/>
      <c r="B100" s="1319"/>
      <c r="C100" s="11"/>
      <c r="D100" s="11"/>
      <c r="E100" s="1319"/>
      <c r="F100" s="1319"/>
      <c r="G100" s="1319"/>
      <c r="H100" s="1320"/>
      <c r="I100" s="1317"/>
      <c r="J100" s="1937"/>
      <c r="K100" s="1931"/>
      <c r="L100" s="1931"/>
      <c r="M100" s="1931"/>
      <c r="N100" s="1931"/>
      <c r="O100" s="1931"/>
      <c r="P100" s="1931"/>
      <c r="Q100" s="1931"/>
      <c r="R100" s="1931"/>
      <c r="S100" s="1931"/>
      <c r="T100" s="1931"/>
      <c r="U100" s="1931"/>
      <c r="V100" s="1931"/>
      <c r="W100" s="1935"/>
      <c r="X100" s="1935"/>
      <c r="Y100" s="1935"/>
      <c r="Z100" s="1935"/>
    </row>
    <row r="101" spans="1:26" s="1314" customFormat="1" ht="15" thickBot="1">
      <c r="A101" s="3511" t="s">
        <v>451</v>
      </c>
      <c r="B101" s="3512"/>
      <c r="C101" s="3512"/>
      <c r="D101" s="3512"/>
      <c r="E101" s="3512"/>
      <c r="F101" s="3512"/>
      <c r="G101" s="3512"/>
      <c r="H101" s="3512"/>
      <c r="I101" s="11"/>
      <c r="J101" s="1931"/>
      <c r="K101" s="1931"/>
      <c r="L101" s="1931"/>
      <c r="M101" s="1931"/>
      <c r="N101" s="1931"/>
      <c r="O101" s="1931"/>
      <c r="P101" s="1931"/>
      <c r="Q101" s="1931"/>
      <c r="R101" s="1931"/>
      <c r="S101" s="1931"/>
      <c r="T101" s="1931"/>
      <c r="U101" s="1931"/>
      <c r="V101" s="1931"/>
      <c r="W101" s="1935"/>
      <c r="X101" s="1935"/>
      <c r="Y101" s="1935"/>
      <c r="Z101" s="1935"/>
    </row>
    <row r="102" spans="1:26" s="1314" customFormat="1" ht="14.25">
      <c r="A102" s="3475" t="s">
        <v>425</v>
      </c>
      <c r="B102" s="3476"/>
      <c r="C102" s="994"/>
      <c r="D102" s="994" t="s">
        <v>426</v>
      </c>
      <c r="E102" s="391" t="s">
        <v>435</v>
      </c>
      <c r="F102" s="392"/>
      <c r="G102" s="392"/>
      <c r="H102" s="413"/>
      <c r="I102" s="11"/>
      <c r="J102" s="1931"/>
      <c r="K102" s="1931"/>
      <c r="L102" s="1931"/>
      <c r="M102" s="1931"/>
      <c r="N102" s="1931"/>
      <c r="O102" s="1931"/>
      <c r="P102" s="1931"/>
      <c r="Q102" s="1931"/>
      <c r="R102" s="1931"/>
      <c r="S102" s="1931"/>
      <c r="T102" s="1931"/>
      <c r="U102" s="1931"/>
      <c r="V102" s="1931"/>
      <c r="W102" s="1935"/>
      <c r="X102" s="1935"/>
      <c r="Y102" s="1935"/>
      <c r="Z102" s="1935"/>
    </row>
    <row r="103" spans="1:26" s="1314" customFormat="1" ht="14.25">
      <c r="A103" s="381" t="s">
        <v>1822</v>
      </c>
      <c r="B103" s="382" t="s">
        <v>436</v>
      </c>
      <c r="C103" s="385">
        <f ca="1">ROUND(D63/(1+'数据-取费表'!C42),0)</f>
        <v>68675</v>
      </c>
      <c r="D103" s="378" t="s">
        <v>19</v>
      </c>
      <c r="E103" s="991"/>
      <c r="F103" s="990"/>
      <c r="G103" s="990"/>
      <c r="H103" s="414"/>
      <c r="I103" s="11"/>
      <c r="J103" s="1931"/>
      <c r="K103" s="1931"/>
      <c r="L103" s="1931"/>
      <c r="M103" s="1931"/>
      <c r="N103" s="1931"/>
      <c r="O103" s="1931"/>
      <c r="P103" s="1931"/>
      <c r="Q103" s="1931"/>
      <c r="R103" s="1931"/>
      <c r="S103" s="1931"/>
      <c r="T103" s="1931"/>
      <c r="U103" s="1931"/>
      <c r="V103" s="1931"/>
      <c r="W103" s="1935"/>
      <c r="X103" s="1935"/>
      <c r="Y103" s="1935"/>
      <c r="Z103" s="1935"/>
    </row>
    <row r="104" spans="1:26" s="1314" customFormat="1" ht="14.25">
      <c r="A104" s="381" t="s">
        <v>1828</v>
      </c>
      <c r="B104" s="348" t="s">
        <v>437</v>
      </c>
      <c r="C104" s="385">
        <f ca="1">IF(H106="仅含出让金",C105+C108+C109+C110+C111+C112,C105+C109+C110+C111+C112)</f>
        <v>23444</v>
      </c>
      <c r="D104" s="415"/>
      <c r="E104" s="991"/>
      <c r="F104" s="990"/>
      <c r="G104" s="990"/>
      <c r="H104" s="414"/>
      <c r="I104" s="11"/>
      <c r="J104" s="1931"/>
      <c r="K104" s="1931"/>
      <c r="L104" s="1931"/>
      <c r="M104" s="1931"/>
      <c r="N104" s="1931"/>
      <c r="O104" s="1931"/>
      <c r="P104" s="1931"/>
      <c r="Q104" s="1931"/>
      <c r="R104" s="1931"/>
      <c r="S104" s="1931"/>
      <c r="T104" s="1931"/>
      <c r="U104" s="1931"/>
      <c r="V104" s="1931"/>
      <c r="W104" s="1935"/>
      <c r="X104" s="1935"/>
      <c r="Y104" s="1935"/>
      <c r="Z104" s="1935"/>
    </row>
    <row r="105" spans="1:26" s="1314" customFormat="1" ht="14.25">
      <c r="A105" s="395" t="s">
        <v>1829</v>
      </c>
      <c r="B105" s="376" t="s">
        <v>452</v>
      </c>
      <c r="C105" s="405">
        <f>C106+C107</f>
        <v>20938</v>
      </c>
      <c r="D105" s="406"/>
      <c r="E105" s="985"/>
      <c r="F105" s="986"/>
      <c r="G105" s="986"/>
      <c r="H105" s="987"/>
      <c r="I105" s="11"/>
      <c r="J105" s="1931"/>
      <c r="K105" s="1931"/>
      <c r="L105" s="1931"/>
      <c r="M105" s="1931"/>
      <c r="N105" s="1931"/>
      <c r="O105" s="1931"/>
      <c r="P105" s="1931"/>
      <c r="Q105" s="1931"/>
      <c r="R105" s="1931"/>
      <c r="S105" s="1931"/>
      <c r="T105" s="1931"/>
      <c r="U105" s="1931"/>
      <c r="V105" s="1931"/>
      <c r="W105" s="1935"/>
      <c r="X105" s="1935"/>
      <c r="Y105" s="1935"/>
      <c r="Z105" s="1935"/>
    </row>
    <row r="106" spans="1:26" s="1314" customFormat="1" ht="14.25">
      <c r="A106" s="395" t="s">
        <v>1830</v>
      </c>
      <c r="B106" s="376" t="s">
        <v>453</v>
      </c>
      <c r="C106" s="416">
        <v>19387</v>
      </c>
      <c r="D106" s="406"/>
      <c r="E106" s="417" t="s">
        <v>454</v>
      </c>
      <c r="F106" s="986"/>
      <c r="G106" s="418" t="s">
        <v>455</v>
      </c>
      <c r="H106" s="419" t="s">
        <v>2435</v>
      </c>
      <c r="I106" s="11"/>
      <c r="J106" s="1931"/>
      <c r="K106" s="1931"/>
      <c r="L106" s="1931"/>
      <c r="M106" s="1931"/>
      <c r="N106" s="1931"/>
      <c r="O106" s="1931"/>
      <c r="P106" s="1931"/>
      <c r="Q106" s="1931"/>
      <c r="R106" s="1931"/>
      <c r="S106" s="1931"/>
      <c r="T106" s="1931"/>
      <c r="U106" s="1931"/>
      <c r="V106" s="1931"/>
      <c r="W106" s="1935"/>
      <c r="X106" s="1935"/>
      <c r="Y106" s="1935"/>
      <c r="Z106" s="1935"/>
    </row>
    <row r="107" spans="1:26" s="1314" customFormat="1" ht="14.25">
      <c r="A107" s="395" t="s">
        <v>1831</v>
      </c>
      <c r="B107" s="376" t="s">
        <v>445</v>
      </c>
      <c r="C107" s="405">
        <f>ROUND(C106*D107,0)</f>
        <v>1551</v>
      </c>
      <c r="D107" s="406">
        <f>'数据-取费表'!B48+'数据-取费表'!B49</f>
        <v>0.08</v>
      </c>
      <c r="E107" s="417" t="s">
        <v>456</v>
      </c>
      <c r="F107" s="986"/>
      <c r="G107" s="986"/>
      <c r="H107" s="987"/>
      <c r="I107" s="11"/>
      <c r="J107" s="1931"/>
      <c r="K107" s="1931"/>
      <c r="L107" s="1931"/>
      <c r="M107" s="1931"/>
      <c r="N107" s="1931"/>
      <c r="O107" s="1931"/>
      <c r="P107" s="1931"/>
      <c r="Q107" s="1931"/>
      <c r="R107" s="1931"/>
      <c r="S107" s="1931"/>
      <c r="T107" s="1931"/>
      <c r="U107" s="1931"/>
      <c r="V107" s="1931"/>
      <c r="W107" s="1935"/>
      <c r="X107" s="1935"/>
      <c r="Y107" s="1935"/>
      <c r="Z107" s="1935"/>
    </row>
    <row r="108" spans="1:26" s="1314" customFormat="1" ht="14.25">
      <c r="A108" s="395" t="s">
        <v>1833</v>
      </c>
      <c r="B108" s="376" t="s">
        <v>457</v>
      </c>
      <c r="C108" s="416"/>
      <c r="D108" s="406"/>
      <c r="E108" s="417" t="str">
        <f>IF(H106="-","土地取得成本中已包含该笔费用"," ")</f>
        <v xml:space="preserve"> </v>
      </c>
      <c r="F108" s="986"/>
      <c r="G108" s="986"/>
      <c r="H108" s="987"/>
      <c r="I108" s="11"/>
      <c r="J108" s="1931"/>
      <c r="K108" s="1931"/>
      <c r="L108" s="1931"/>
      <c r="M108" s="1931"/>
      <c r="N108" s="1931"/>
      <c r="O108" s="1931"/>
      <c r="P108" s="1931"/>
      <c r="Q108" s="1931"/>
      <c r="R108" s="1931"/>
      <c r="S108" s="1931"/>
      <c r="T108" s="1931"/>
      <c r="U108" s="1931"/>
      <c r="V108" s="1931"/>
      <c r="W108" s="1935"/>
      <c r="X108" s="1935"/>
      <c r="Y108" s="1935"/>
      <c r="Z108" s="1935"/>
    </row>
    <row r="109" spans="1:26" s="1314" customFormat="1" ht="24" customHeight="1">
      <c r="A109" s="1620" t="s">
        <v>1837</v>
      </c>
      <c r="B109" s="376" t="s">
        <v>458</v>
      </c>
      <c r="C109" s="405">
        <f>IF(H109="——",IF(F1="现房",'剩余法-现房'!C18,'剩余法-待开发'!C18),I109)</f>
        <v>0</v>
      </c>
      <c r="D109" s="406"/>
      <c r="E109" s="3501" t="s">
        <v>459</v>
      </c>
      <c r="F109" s="3499"/>
      <c r="G109" s="3499"/>
      <c r="H109" s="1839" t="s">
        <v>2277</v>
      </c>
      <c r="I109" s="1840">
        <v>0</v>
      </c>
      <c r="J109" s="1931"/>
      <c r="K109" s="1931"/>
      <c r="L109" s="1931"/>
      <c r="M109" s="1931"/>
      <c r="N109" s="1931"/>
      <c r="O109" s="1931"/>
      <c r="P109" s="1931"/>
      <c r="Q109" s="1931"/>
      <c r="R109" s="1931"/>
      <c r="S109" s="1931"/>
      <c r="T109" s="1931"/>
      <c r="U109" s="1931"/>
      <c r="V109" s="1931"/>
      <c r="W109" s="1935"/>
      <c r="X109" s="1935"/>
      <c r="Y109" s="1935"/>
      <c r="Z109" s="1935"/>
    </row>
    <row r="110" spans="1:26" s="1314" customFormat="1" ht="25.5" customHeight="1">
      <c r="A110" s="1620" t="s">
        <v>1838</v>
      </c>
      <c r="B110" s="376" t="s">
        <v>460</v>
      </c>
      <c r="C110" s="405">
        <f>ROUND((C105+C108+C109)*D110,0)</f>
        <v>2094</v>
      </c>
      <c r="D110" s="406">
        <v>0.1</v>
      </c>
      <c r="E110" s="3501" t="s">
        <v>461</v>
      </c>
      <c r="F110" s="3499"/>
      <c r="G110" s="3499"/>
      <c r="H110" s="3500"/>
      <c r="I110" s="11"/>
      <c r="J110" s="1931"/>
      <c r="K110" s="1931"/>
      <c r="L110" s="1931"/>
      <c r="M110" s="1931"/>
      <c r="N110" s="1931"/>
      <c r="O110" s="1931"/>
      <c r="P110" s="1931"/>
      <c r="Q110" s="1931"/>
      <c r="R110" s="1931"/>
      <c r="S110" s="1931"/>
      <c r="T110" s="1931"/>
      <c r="U110" s="1931"/>
      <c r="V110" s="1931"/>
      <c r="W110" s="1935"/>
      <c r="X110" s="1935"/>
      <c r="Y110" s="1935"/>
      <c r="Z110" s="1935"/>
    </row>
    <row r="111" spans="1:26" s="1314" customFormat="1" ht="25.5" customHeight="1">
      <c r="A111" s="1620" t="s">
        <v>1839</v>
      </c>
      <c r="B111" s="376" t="s">
        <v>447</v>
      </c>
      <c r="C111" s="405">
        <f ca="1">ROUND(D63*D111/(1+'数据-取费表'!C42),0)</f>
        <v>412</v>
      </c>
      <c r="D111" s="406">
        <f>'数据-取费表'!B43</f>
        <v>6.000000000000001E-3</v>
      </c>
      <c r="E111" s="3498" t="s">
        <v>2424</v>
      </c>
      <c r="F111" s="3499"/>
      <c r="G111" s="3499"/>
      <c r="H111" s="3500"/>
      <c r="I111" s="11"/>
      <c r="J111" s="1931"/>
      <c r="K111" s="1931"/>
      <c r="L111" s="1931"/>
      <c r="M111" s="1931"/>
      <c r="N111" s="1931"/>
      <c r="O111" s="1931"/>
      <c r="P111" s="1931"/>
      <c r="Q111" s="1931"/>
      <c r="R111" s="1931"/>
      <c r="S111" s="1931"/>
      <c r="T111" s="1931"/>
      <c r="U111" s="1931"/>
      <c r="V111" s="1931"/>
      <c r="W111" s="1935"/>
      <c r="X111" s="1935"/>
      <c r="Y111" s="1935"/>
      <c r="Z111" s="1935"/>
    </row>
    <row r="112" spans="1:26" s="1314" customFormat="1" ht="25.5" customHeight="1">
      <c r="A112" s="1620" t="s">
        <v>1840</v>
      </c>
      <c r="B112" s="376" t="s">
        <v>462</v>
      </c>
      <c r="C112" s="405">
        <f>ROUND(C108*D112,0)</f>
        <v>0</v>
      </c>
      <c r="D112" s="406">
        <v>0.2</v>
      </c>
      <c r="E112" s="3501" t="s">
        <v>2449</v>
      </c>
      <c r="F112" s="3499"/>
      <c r="G112" s="3499"/>
      <c r="H112" s="3500"/>
      <c r="I112" s="11"/>
      <c r="J112" s="1931"/>
      <c r="K112" s="1931"/>
      <c r="L112" s="1931"/>
      <c r="M112" s="1931"/>
      <c r="N112" s="1931"/>
      <c r="O112" s="1931"/>
      <c r="P112" s="1931"/>
      <c r="Q112" s="1931"/>
      <c r="R112" s="1931"/>
      <c r="S112" s="1931"/>
      <c r="T112" s="1931"/>
      <c r="U112" s="1931"/>
      <c r="V112" s="1931"/>
      <c r="W112" s="1935"/>
      <c r="X112" s="1935"/>
      <c r="Y112" s="1935"/>
      <c r="Z112" s="1935"/>
    </row>
    <row r="113" spans="1:26" s="1314" customFormat="1" ht="14.25">
      <c r="A113" s="1618" t="s">
        <v>1834</v>
      </c>
      <c r="B113" s="382" t="s">
        <v>448</v>
      </c>
      <c r="C113" s="385">
        <f ca="1">ROUND(C103-C104,0)</f>
        <v>45231</v>
      </c>
      <c r="D113" s="378" t="s">
        <v>19</v>
      </c>
      <c r="E113" s="991"/>
      <c r="F113" s="990"/>
      <c r="G113" s="990"/>
      <c r="H113" s="414"/>
      <c r="I113" s="11"/>
      <c r="J113" s="1931"/>
      <c r="K113" s="1931"/>
      <c r="L113" s="1931"/>
      <c r="M113" s="1931"/>
      <c r="N113" s="1931"/>
      <c r="O113" s="1931"/>
      <c r="P113" s="1931"/>
      <c r="Q113" s="1931"/>
      <c r="R113" s="1931"/>
      <c r="S113" s="1931"/>
      <c r="T113" s="1931"/>
      <c r="U113" s="1931"/>
      <c r="V113" s="1931"/>
      <c r="W113" s="1935"/>
      <c r="X113" s="1935"/>
      <c r="Y113" s="1935"/>
      <c r="Z113" s="1935"/>
    </row>
    <row r="114" spans="1:26" s="1314" customFormat="1" ht="24">
      <c r="A114" s="1618" t="s">
        <v>1835</v>
      </c>
      <c r="B114" s="382" t="s">
        <v>449</v>
      </c>
      <c r="C114" s="407">
        <f ca="1">IF(C113&lt;=0,0,C113/C104)</f>
        <v>1.9293209349940283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1931"/>
      <c r="K114" s="1931"/>
      <c r="L114" s="1931"/>
      <c r="M114" s="1931"/>
      <c r="N114" s="1931"/>
      <c r="O114" s="1931"/>
      <c r="P114" s="1931"/>
      <c r="Q114" s="1931"/>
      <c r="R114" s="1931"/>
      <c r="S114" s="1931"/>
      <c r="T114" s="1931"/>
      <c r="U114" s="1931"/>
      <c r="V114" s="1931"/>
      <c r="W114" s="1935"/>
      <c r="X114" s="1935"/>
      <c r="Y114" s="1935"/>
      <c r="Z114" s="1935"/>
    </row>
    <row r="115" spans="1:26" s="1314" customFormat="1" ht="24.75" thickBot="1">
      <c r="A115" s="1619" t="s">
        <v>1836</v>
      </c>
      <c r="B115" s="387" t="s">
        <v>450</v>
      </c>
      <c r="C115" s="408">
        <f ca="1">ROUND(IF(C113&lt;=0,0,IF(C114&gt;=200%,C113*60%-C104*35%,IF(C114&gt;=100%,C113*50%-C104*15%,IF(C114&gt;=50%,C113*40%-C104*5%,IF(C114&lt;50%,C113*30%,0))))),0)</f>
        <v>19099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257" customFormat="1" ht="21.75" customHeight="1">
      <c r="K185" s="1939"/>
      <c r="L185" s="1939"/>
      <c r="M185" s="1939"/>
      <c r="N185" s="1939"/>
      <c r="O185" s="19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115" zoomScaleNormal="100" zoomScaleSheetLayoutView="115" workbookViewId="0">
      <selection activeCell="E31" sqref="E31"/>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463</v>
      </c>
      <c r="B1" s="2724" t="s">
        <v>3114</v>
      </c>
      <c r="C1" s="2002"/>
      <c r="D1" s="2002"/>
      <c r="E1" s="2002"/>
      <c r="F1" s="2002"/>
      <c r="G1" s="2002"/>
      <c r="H1" s="2002"/>
      <c r="I1" s="2002"/>
      <c r="J1" s="2002"/>
      <c r="K1" s="422">
        <f>MATCH(B1,'数据-取费表'!A6:A16,0)+5</f>
        <v>6</v>
      </c>
    </row>
    <row r="2" spans="1:31" s="1939" customFormat="1" ht="18" customHeight="1">
      <c r="A2" s="1999" t="s">
        <v>464</v>
      </c>
      <c r="B2" s="2003">
        <f ca="1">C36</f>
        <v>71762</v>
      </c>
      <c r="C2" s="2002"/>
      <c r="D2" s="2002"/>
      <c r="E2" s="2002"/>
      <c r="F2" s="2002"/>
      <c r="G2" s="2002"/>
      <c r="H2" s="2002"/>
      <c r="I2" s="2002"/>
      <c r="J2" s="2002"/>
      <c r="K2" s="2002"/>
    </row>
    <row r="3" spans="1:31" s="1939" customFormat="1" ht="18" customHeight="1">
      <c r="A3" s="2004" t="s">
        <v>1683</v>
      </c>
      <c r="B3" s="2005">
        <f ca="1">ROUND(B2*10000/IF(B1="",'数据-汇总表'!E3,INDIRECT("'数据-取费表'!K"&amp;$K$1)),0)</f>
        <v>4651</v>
      </c>
      <c r="C3" s="2002"/>
      <c r="D3" s="2002"/>
      <c r="E3" s="2002"/>
      <c r="F3" s="2002"/>
      <c r="G3" s="2002"/>
      <c r="H3" s="2002"/>
      <c r="I3" s="2002"/>
      <c r="J3" s="2002"/>
      <c r="K3" s="2002"/>
    </row>
    <row r="4" spans="1:31" s="1939" customFormat="1" ht="18" customHeight="1">
      <c r="A4" s="426" t="s">
        <v>465</v>
      </c>
      <c r="B4" s="427">
        <f ca="1">ROUND(B2*10000/IF(B1="",'数据-汇总表'!D3,INDIRECT("'数据-取费表'!R"&amp;$K$1)),0)</f>
        <v>6511</v>
      </c>
      <c r="C4" s="428"/>
      <c r="D4" s="422"/>
      <c r="E4" s="422"/>
      <c r="F4" s="422"/>
      <c r="G4" s="422"/>
      <c r="H4" s="422"/>
      <c r="I4" s="422"/>
      <c r="J4" s="422"/>
      <c r="K4" s="422"/>
    </row>
    <row r="5" spans="1:31" s="1939" customFormat="1" ht="18" customHeight="1" thickBot="1">
      <c r="A5" s="429"/>
      <c r="B5" s="430">
        <f ca="1">ROUND(B2/(IF(B1="",'数据-汇总表'!D3,INDIRECT("'数据-取费表'!R"&amp;$K$1))/666.67),0)</f>
        <v>434</v>
      </c>
      <c r="C5" s="431" t="s">
        <v>466</v>
      </c>
      <c r="D5" s="422"/>
      <c r="E5" s="422"/>
      <c r="F5" s="422"/>
      <c r="G5" s="422"/>
      <c r="H5" s="422"/>
      <c r="I5" s="422"/>
      <c r="J5" s="422"/>
      <c r="K5" s="422"/>
    </row>
    <row r="6" spans="1:31" s="2009" customFormat="1" ht="16.5" customHeight="1">
      <c r="A6" s="2743" t="s">
        <v>1841</v>
      </c>
      <c r="B6" s="2744"/>
      <c r="C6" s="2745">
        <f>SUM(C10:K10)</f>
        <v>197664</v>
      </c>
      <c r="D6" s="2744"/>
      <c r="E6" s="2744"/>
      <c r="F6" s="2744"/>
      <c r="G6" s="2744"/>
      <c r="H6" s="2744"/>
      <c r="I6" s="2744"/>
      <c r="J6" s="2744"/>
      <c r="K6" s="2746"/>
    </row>
    <row r="7" spans="1:31" s="2011" customFormat="1" ht="15">
      <c r="A7" s="2747" t="s">
        <v>467</v>
      </c>
      <c r="B7" s="2748" t="s">
        <v>468</v>
      </c>
      <c r="C7" s="436" t="s">
        <v>3114</v>
      </c>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803" t="s">
        <v>1844</v>
      </c>
      <c r="B8" s="261" t="s">
        <v>469</v>
      </c>
      <c r="C8" s="2749">
        <f>'不动产比较法-住宅'!B3</f>
        <v>12811</v>
      </c>
      <c r="D8" s="2749"/>
      <c r="E8" s="2749"/>
      <c r="F8" s="2749"/>
      <c r="G8" s="2749"/>
      <c r="H8" s="2749"/>
      <c r="I8" s="2749"/>
      <c r="J8" s="2749"/>
      <c r="K8" s="2750"/>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803" t="s">
        <v>1845</v>
      </c>
      <c r="B9" s="261" t="s">
        <v>470</v>
      </c>
      <c r="C9" s="441">
        <f>SUMIF('数据-汇总表'!$C19:$C33,'剩余法-待开发'!C7,'数据-汇总表'!$E19:$E33)</f>
        <v>154292.6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51" t="s">
        <v>1846</v>
      </c>
      <c r="B10" s="2737" t="s">
        <v>471</v>
      </c>
      <c r="C10" s="2944">
        <f>'不动产比较法-住宅'!B2</f>
        <v>197664</v>
      </c>
      <c r="D10" s="2944"/>
      <c r="E10" s="2944"/>
      <c r="F10" s="2752"/>
      <c r="G10" s="2752"/>
      <c r="H10" s="2752"/>
      <c r="I10" s="2752"/>
      <c r="J10" s="2752"/>
      <c r="K10" s="2753"/>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4" t="s">
        <v>1842</v>
      </c>
      <c r="B11" s="2744"/>
      <c r="C11" s="2744"/>
      <c r="D11" s="2744"/>
      <c r="E11" s="2744"/>
      <c r="F11" s="2744"/>
      <c r="G11" s="2744"/>
      <c r="H11" s="2744"/>
      <c r="I11" s="2744"/>
      <c r="J11" s="2744"/>
      <c r="K11" s="2746"/>
    </row>
    <row r="12" spans="1:31" s="1983" customFormat="1" ht="13.5" customHeight="1">
      <c r="A12" s="2755" t="s">
        <v>467</v>
      </c>
      <c r="B12" s="2727" t="s">
        <v>468</v>
      </c>
      <c r="C12" s="2756" t="s">
        <v>472</v>
      </c>
      <c r="D12" s="2723" t="s">
        <v>473</v>
      </c>
      <c r="E12" s="2723" t="s">
        <v>474</v>
      </c>
      <c r="F12" s="2723" t="s">
        <v>475</v>
      </c>
      <c r="G12" s="2727"/>
      <c r="H12" s="2728"/>
      <c r="I12" s="2728"/>
      <c r="J12" s="2728"/>
      <c r="K12" s="2729"/>
    </row>
    <row r="13" spans="1:31" s="2014" customFormat="1" ht="13.5" customHeight="1">
      <c r="A13" s="2757" t="s">
        <v>1847</v>
      </c>
      <c r="B13" s="2758" t="s">
        <v>476</v>
      </c>
      <c r="C13" s="450">
        <f ca="1">IF(B1="",'数据-取费表'!P16,INDIRECT("'数据-取费表'!p"&amp;$K$1)+INDIRECT("'数据-取费表'!t"&amp;$K$1))</f>
        <v>49374</v>
      </c>
      <c r="D13" s="2759"/>
      <c r="E13" s="2760"/>
      <c r="F13" s="2761"/>
      <c r="G13" s="2727"/>
      <c r="H13" s="2728"/>
      <c r="I13" s="2728"/>
      <c r="J13" s="2728"/>
      <c r="K13" s="2729"/>
    </row>
    <row r="14" spans="1:31" s="2014" customFormat="1" ht="13.5" customHeight="1">
      <c r="A14" s="2757" t="s">
        <v>1848</v>
      </c>
      <c r="B14" s="2758" t="s">
        <v>477</v>
      </c>
      <c r="C14" s="53">
        <f ca="1">ROUND(C13*F14,0)</f>
        <v>2469</v>
      </c>
      <c r="D14" s="2759"/>
      <c r="E14" s="2760"/>
      <c r="F14" s="2762">
        <f>'数据-取费表'!B33</f>
        <v>0.05</v>
      </c>
      <c r="G14" s="2727" t="s">
        <v>478</v>
      </c>
      <c r="H14" s="2728"/>
      <c r="I14" s="2728"/>
      <c r="J14" s="2728"/>
      <c r="K14" s="2729"/>
    </row>
    <row r="15" spans="1:31" s="2014" customFormat="1" ht="13.5" customHeight="1">
      <c r="A15" s="2757" t="s">
        <v>1849</v>
      </c>
      <c r="B15" s="2758" t="s">
        <v>479</v>
      </c>
      <c r="C15" s="53">
        <f ca="1">ROUND(IF(B1="",SUMIF('数据-取费表'!C:C,"住宅",'数据-取费表'!P:P)*F15,IF(INDIRECT("'数据-取费表'!c"&amp;$K$1)="住宅",INDIRECT("'数据-取费表'!P"&amp;$K$1)*F15,0)),0)</f>
        <v>4937</v>
      </c>
      <c r="D15" s="2759"/>
      <c r="E15" s="2760"/>
      <c r="F15" s="2762">
        <f>'数据-取费表'!B34</f>
        <v>0.1</v>
      </c>
      <c r="G15" s="2727" t="s">
        <v>480</v>
      </c>
      <c r="H15" s="2728"/>
      <c r="I15" s="2728"/>
      <c r="J15" s="2728"/>
      <c r="K15" s="2729"/>
    </row>
    <row r="16" spans="1:31" s="2015" customFormat="1" ht="13.5" customHeight="1">
      <c r="A16" s="2757" t="s">
        <v>1850</v>
      </c>
      <c r="B16" s="2758" t="s">
        <v>481</v>
      </c>
      <c r="C16" s="53">
        <f ca="1">ROUND(D16*E16/10000,0)</f>
        <v>3086</v>
      </c>
      <c r="D16" s="2759">
        <f ca="1">IF(B1="",'数据-汇总表'!E3,INDIRECT("'数据-取费表'!K"&amp;$K$1)+INDIRECT("'数据-取费表'!S"&amp;$K$1))</f>
        <v>154292.6</v>
      </c>
      <c r="E16" s="53">
        <f>'数据-取费表'!B35</f>
        <v>200</v>
      </c>
      <c r="F16" s="2762"/>
      <c r="G16" s="2727"/>
      <c r="H16" s="2728"/>
      <c r="I16" s="2728"/>
      <c r="J16" s="2728"/>
      <c r="K16" s="2729"/>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7" t="s">
        <v>1851</v>
      </c>
      <c r="B17" s="2758" t="s">
        <v>482</v>
      </c>
      <c r="C17" s="2763">
        <f ca="1">ROUND(C13*F17,0)</f>
        <v>741</v>
      </c>
      <c r="D17" s="475"/>
      <c r="E17" s="2763"/>
      <c r="F17" s="2764">
        <f>'数据-取费表'!B36</f>
        <v>1.4999999999999999E-2</v>
      </c>
      <c r="G17" s="261" t="s">
        <v>483</v>
      </c>
      <c r="H17" s="2730"/>
      <c r="I17" s="2730"/>
      <c r="J17" s="2730"/>
      <c r="K17" s="279"/>
    </row>
    <row r="18" spans="1:14" s="2014" customFormat="1" ht="13.5" customHeight="1">
      <c r="A18" s="2765" t="s">
        <v>1852</v>
      </c>
      <c r="B18" s="2766" t="s">
        <v>484</v>
      </c>
      <c r="C18" s="2767">
        <f ca="1">SUM(C13:C17)</f>
        <v>60607</v>
      </c>
      <c r="D18" s="2768"/>
      <c r="E18" s="468"/>
      <c r="F18" s="468"/>
      <c r="G18" s="2731" t="s">
        <v>2426</v>
      </c>
      <c r="H18" s="2732"/>
      <c r="I18" s="2732"/>
      <c r="J18" s="2732"/>
      <c r="K18" s="2733"/>
    </row>
    <row r="19" spans="1:14" s="2014" customFormat="1" ht="13.5" customHeight="1">
      <c r="A19" s="2765" t="s">
        <v>1853</v>
      </c>
      <c r="B19" s="2766" t="s">
        <v>485</v>
      </c>
      <c r="C19" s="2723">
        <f ca="1">ROUND(D19*E19/10000,0)</f>
        <v>1543</v>
      </c>
      <c r="D19" s="2769">
        <f ca="1">D16</f>
        <v>154292.6</v>
      </c>
      <c r="E19" s="2723">
        <f>'数据-取费表'!B32</f>
        <v>100</v>
      </c>
      <c r="F19" s="468"/>
      <c r="G19" s="2727" t="s">
        <v>486</v>
      </c>
      <c r="H19" s="2728"/>
      <c r="I19" s="2732"/>
      <c r="J19" s="2732"/>
      <c r="K19" s="2733"/>
    </row>
    <row r="20" spans="1:14" s="2014" customFormat="1" ht="13.5" customHeight="1">
      <c r="A20" s="2765" t="s">
        <v>1854</v>
      </c>
      <c r="B20" s="2766" t="s">
        <v>487</v>
      </c>
      <c r="C20" s="2723">
        <f ca="1">C21+C22-IF(B1="",'数据-取费表'!B29,IF(G20="已全部缴纳",C21+C22,H20))</f>
        <v>1960</v>
      </c>
      <c r="D20" s="2769"/>
      <c r="E20" s="2723"/>
      <c r="F20" s="2770"/>
      <c r="G20" s="2998"/>
      <c r="H20" s="2725"/>
      <c r="I20" s="2726" t="s">
        <v>2650</v>
      </c>
      <c r="J20" s="2732"/>
      <c r="K20" s="2733"/>
    </row>
    <row r="21" spans="1:14" s="2014" customFormat="1" ht="13.5" customHeight="1">
      <c r="A21" s="2757" t="s">
        <v>1855</v>
      </c>
      <c r="B21" s="2758" t="s">
        <v>488</v>
      </c>
      <c r="C21" s="53">
        <f ca="1">ROUND(D21*E21/10000,0)</f>
        <v>1960</v>
      </c>
      <c r="D21" s="2759">
        <f ca="1">IF(B1="",'数据-汇总表'!E5,IF(INDIRECT("'数据-取费表'!c"&amp;$K$1)="住宅",INDIRECT("'数据-取费表'!k"&amp;$K$1),0))</f>
        <v>154292.6</v>
      </c>
      <c r="E21" s="53">
        <f>'数据-取费表'!B27</f>
        <v>127</v>
      </c>
      <c r="F21" s="2762"/>
      <c r="G21" s="26"/>
      <c r="H21" s="51"/>
      <c r="I21" s="51"/>
      <c r="J21" s="51"/>
      <c r="K21" s="2734"/>
    </row>
    <row r="22" spans="1:14" s="2014" customFormat="1" ht="13.5" customHeight="1">
      <c r="A22" s="2757" t="s">
        <v>1856</v>
      </c>
      <c r="B22" s="2758" t="s">
        <v>489</v>
      </c>
      <c r="C22" s="53">
        <f ca="1">ROUND(D22*E22/10000,0)</f>
        <v>0</v>
      </c>
      <c r="D22" s="2759">
        <f ca="1">IF(B1="",'数据-汇总表'!E6,IF(INDIRECT("'数据-取费表'!c"&amp;$K$1)="住宅",INDIRECT("'数据-取费表'!s"&amp;$K$1),INDIRECT("'数据-取费表'!k"&amp;$K$1)+INDIRECT("'数据-取费表'!s"&amp;$K$1)))</f>
        <v>0</v>
      </c>
      <c r="E22" s="53">
        <f>'数据-取费表'!B28</f>
        <v>127</v>
      </c>
      <c r="F22" s="2762"/>
      <c r="G22" s="26"/>
      <c r="H22" s="51"/>
      <c r="I22" s="51"/>
      <c r="J22" s="51"/>
      <c r="K22" s="2734"/>
    </row>
    <row r="23" spans="1:14" s="2014" customFormat="1" ht="13.5" customHeight="1">
      <c r="A23" s="2765" t="s">
        <v>1857</v>
      </c>
      <c r="B23" s="2950" t="s">
        <v>2833</v>
      </c>
      <c r="C23" s="2767">
        <f ca="1">ROUND((C18+C19+C20)*F23,0)</f>
        <v>962</v>
      </c>
      <c r="D23" s="468"/>
      <c r="E23" s="468"/>
      <c r="F23" s="2771">
        <f>'数据-取费表'!B37</f>
        <v>1.4999999999999999E-2</v>
      </c>
      <c r="G23" s="2727" t="s">
        <v>2427</v>
      </c>
      <c r="H23" s="2728"/>
      <c r="I23" s="2728"/>
      <c r="J23" s="2728"/>
      <c r="K23" s="2729"/>
      <c r="L23" s="2016"/>
      <c r="M23" s="2016"/>
      <c r="N23" s="2016"/>
    </row>
    <row r="24" spans="1:14" s="2014" customFormat="1" ht="13.5" customHeight="1">
      <c r="A24" s="2765" t="s">
        <v>1858</v>
      </c>
      <c r="B24" s="2950" t="s">
        <v>2836</v>
      </c>
      <c r="C24" s="2767">
        <f>ROUND(C6*F24,0)</f>
        <v>5930</v>
      </c>
      <c r="D24" s="475"/>
      <c r="E24" s="473"/>
      <c r="F24" s="2771">
        <f>'数据-取费表'!B38</f>
        <v>0.03</v>
      </c>
      <c r="G24" s="2736" t="s">
        <v>496</v>
      </c>
      <c r="H24" s="2730"/>
      <c r="I24" s="2730"/>
      <c r="J24" s="2730"/>
      <c r="K24" s="279"/>
      <c r="L24" s="2016"/>
      <c r="M24" s="2016"/>
      <c r="N24" s="2016"/>
    </row>
    <row r="25" spans="1:14" s="2017" customFormat="1" ht="13.5" customHeight="1">
      <c r="A25" s="2765" t="s">
        <v>1859</v>
      </c>
      <c r="B25" s="2950" t="s">
        <v>2834</v>
      </c>
      <c r="C25" s="467">
        <f>ROUND(F25/(1+'数据-取费表'!C42),4)</f>
        <v>7.6200000000000004E-2</v>
      </c>
      <c r="D25" s="462" t="s">
        <v>2828</v>
      </c>
      <c r="E25" s="469"/>
      <c r="F25" s="2771">
        <f>'数据-取费表'!B48+'数据-取费表'!B49</f>
        <v>0.08</v>
      </c>
      <c r="G25" s="2735" t="s">
        <v>2287</v>
      </c>
      <c r="H25" s="2728"/>
      <c r="I25" s="2728"/>
      <c r="J25" s="2728"/>
      <c r="K25" s="2729"/>
    </row>
    <row r="26" spans="1:14" s="2016" customFormat="1" ht="13.5" customHeight="1">
      <c r="A26" s="2765" t="s">
        <v>1860</v>
      </c>
      <c r="B26" s="2951" t="s">
        <v>2835</v>
      </c>
      <c r="C26" s="2772">
        <f ca="1">C28</f>
        <v>5118</v>
      </c>
      <c r="D26" s="467">
        <f ca="1">C27</f>
        <v>0.1608</v>
      </c>
      <c r="E26" s="469" t="s">
        <v>492</v>
      </c>
      <c r="F26" s="471">
        <f ca="1">'数据-取费表'!B40</f>
        <v>4.7500000000000001E-2</v>
      </c>
      <c r="G26" s="2491" t="str">
        <f>IF('数据-取费表'!B22&lt;=1,"单利计息。","复利计息。")&amp;"后续开发成本、管理费用及销售费用产生的利息。"</f>
        <v>复利计息。后续开发成本、管理费用及销售费用产生的利息。</v>
      </c>
      <c r="H26" s="2732"/>
      <c r="I26" s="2732"/>
      <c r="J26" s="2732"/>
      <c r="K26" s="2733"/>
    </row>
    <row r="27" spans="1:14" s="2018" customFormat="1" ht="13.5" customHeight="1">
      <c r="A27" s="803" t="s">
        <v>1855</v>
      </c>
      <c r="B27" s="2773" t="s">
        <v>493</v>
      </c>
      <c r="C27" s="2774">
        <f ca="1">ROUND(IF('数据-取费表'!B22&lt;=1,(1+C25)*F26*'数据-取费表'!B24,(1+C25)*(POWER((1+F26),'数据-取费表'!B24)-1)),4)</f>
        <v>0.1608</v>
      </c>
      <c r="D27" s="472"/>
      <c r="E27" s="473"/>
      <c r="F27" s="474"/>
      <c r="G27" s="2491" t="str">
        <f>IF('数据-取费表'!B22&lt;=1,"（1+取得税费率/(1+5%)）×年利率×建设期","（1+取得税费率）/(1+5%)×((1+年利率)^建设期-1)")</f>
        <v>（1+取得税费率）/(1+5%)×((1+年利率)^建设期-1)</v>
      </c>
      <c r="H27" s="2730"/>
      <c r="I27" s="2730"/>
      <c r="J27" s="2730"/>
      <c r="K27" s="279"/>
    </row>
    <row r="28" spans="1:14" s="2018" customFormat="1" ht="13.5" customHeight="1">
      <c r="A28" s="803" t="s">
        <v>1856</v>
      </c>
      <c r="B28" s="2773" t="s">
        <v>2837</v>
      </c>
      <c r="C28" s="2775">
        <f ca="1">ROUND(IF('数据-取费表'!B22&lt;=1,(C18+C19+C20+C23+C24)*F26*'数据-取费表'!B24/2,(C18+C19+C20+C23+C24)*(POWER((1+F26),'数据-取费表'!B24/2)-1)),0)</f>
        <v>5118</v>
      </c>
      <c r="D28" s="472"/>
      <c r="E28" s="473"/>
      <c r="F28" s="474"/>
      <c r="G28" s="2491" t="str">
        <f>IF('数据-取费表'!B22&lt;=1,"（1）-（4）项×年利率×建设期÷2","（1）-（4）项×((1+年利率)^(建设期÷2)-1)")</f>
        <v>（1）-（4）项×((1+年利率)^(建设期÷2)-1)</v>
      </c>
      <c r="H28" s="2730"/>
      <c r="I28" s="2730"/>
      <c r="J28" s="2730"/>
      <c r="K28" s="279"/>
    </row>
    <row r="29" spans="1:14" s="2018" customFormat="1" ht="13.5" customHeight="1">
      <c r="A29" s="2776" t="s">
        <v>1861</v>
      </c>
      <c r="B29" s="2766" t="s">
        <v>494</v>
      </c>
      <c r="C29" s="2767">
        <f>ROUND(C6*F29/(1+'数据-取费表'!C42),0)</f>
        <v>10542</v>
      </c>
      <c r="D29" s="468"/>
      <c r="E29" s="468"/>
      <c r="F29" s="2952">
        <f>'数据-取费表'!B41</f>
        <v>5.6000000000000001E-2</v>
      </c>
      <c r="G29" s="2736" t="s">
        <v>495</v>
      </c>
      <c r="H29" s="2728"/>
      <c r="I29" s="2728"/>
      <c r="J29" s="2728"/>
      <c r="K29" s="2729"/>
    </row>
    <row r="30" spans="1:14" s="2019" customFormat="1" ht="13.5" customHeight="1">
      <c r="A30" s="1636" t="s">
        <v>1862</v>
      </c>
      <c r="B30" s="2777" t="s">
        <v>497</v>
      </c>
      <c r="C30" s="2772">
        <f ca="1">C31</f>
        <v>86662</v>
      </c>
      <c r="D30" s="477">
        <f ca="1">C32</f>
        <v>0.23699999999999999</v>
      </c>
      <c r="E30" s="469" t="s">
        <v>492</v>
      </c>
      <c r="F30" s="471"/>
      <c r="G30" s="2727" t="s">
        <v>498</v>
      </c>
      <c r="H30" s="2728"/>
      <c r="I30" s="2728"/>
      <c r="J30" s="2728"/>
      <c r="K30" s="2729"/>
    </row>
    <row r="31" spans="1:14" s="2018" customFormat="1" ht="13.5" customHeight="1">
      <c r="A31" s="803" t="s">
        <v>1855</v>
      </c>
      <c r="B31" s="2773"/>
      <c r="C31" s="450">
        <f ca="1">C18+C19+C20+C23+C24+C26+C29</f>
        <v>86662</v>
      </c>
      <c r="D31" s="472"/>
      <c r="E31" s="473"/>
      <c r="F31" s="474"/>
      <c r="G31" s="261"/>
      <c r="H31" s="2730"/>
      <c r="I31" s="2730"/>
      <c r="J31" s="2730"/>
      <c r="K31" s="279"/>
    </row>
    <row r="32" spans="1:14" s="2018" customFormat="1" ht="13.5" customHeight="1">
      <c r="A32" s="803" t="s">
        <v>1856</v>
      </c>
      <c r="B32" s="2773"/>
      <c r="C32" s="53">
        <f ca="1">ROUND(C25+D26,4)</f>
        <v>0.23699999999999999</v>
      </c>
      <c r="D32" s="472"/>
      <c r="E32" s="473"/>
      <c r="F32" s="474"/>
      <c r="G32" s="261"/>
      <c r="H32" s="2730"/>
      <c r="I32" s="2730"/>
      <c r="J32" s="2730"/>
      <c r="K32" s="279"/>
    </row>
    <row r="33" spans="1:11" s="2020" customFormat="1" ht="13.5" customHeight="1">
      <c r="A33" s="2949" t="s">
        <v>2832</v>
      </c>
      <c r="B33" s="2947" t="s">
        <v>2830</v>
      </c>
      <c r="C33" s="478">
        <f ca="1">C35</f>
        <v>10650</v>
      </c>
      <c r="D33" s="467">
        <f ca="1">C34</f>
        <v>0.16139999999999999</v>
      </c>
      <c r="E33" s="469" t="s">
        <v>492</v>
      </c>
      <c r="F33" s="479">
        <f ca="1">IF(B1="",'数据-取费表'!Q16,INDIRECT("'数据-取费表'!q"&amp;$K$1))</f>
        <v>0.15</v>
      </c>
      <c r="G33" s="2731"/>
      <c r="H33" s="2732"/>
      <c r="I33" s="2732"/>
      <c r="J33" s="2732"/>
      <c r="K33" s="2733"/>
    </row>
    <row r="34" spans="1:11" s="2021" customFormat="1" ht="13.5" customHeight="1">
      <c r="A34" s="375" t="s">
        <v>1855</v>
      </c>
      <c r="B34" s="2778" t="s">
        <v>499</v>
      </c>
      <c r="C34" s="472">
        <f ca="1">ROUND((1+C25)*F33,4)</f>
        <v>0.16139999999999999</v>
      </c>
      <c r="D34" s="472"/>
      <c r="E34" s="473"/>
      <c r="F34" s="480"/>
      <c r="G34" s="261" t="s">
        <v>2288</v>
      </c>
      <c r="H34" s="2730"/>
      <c r="I34" s="2730"/>
      <c r="J34" s="2730"/>
      <c r="K34" s="279"/>
    </row>
    <row r="35" spans="1:11" s="2021" customFormat="1" ht="13.5" customHeight="1" thickBot="1">
      <c r="A35" s="1637" t="s">
        <v>1856</v>
      </c>
      <c r="B35" s="2948" t="s">
        <v>2838</v>
      </c>
      <c r="C35" s="1629">
        <f ca="1">ROUND((C18+C19+C20+C23+C24)*F33,0)</f>
        <v>10650</v>
      </c>
      <c r="D35" s="1630"/>
      <c r="E35" s="2779"/>
      <c r="F35" s="1631"/>
      <c r="G35" s="2737"/>
      <c r="H35" s="2738"/>
      <c r="I35" s="2738"/>
      <c r="J35" s="2738"/>
      <c r="K35" s="2739"/>
    </row>
    <row r="36" spans="1:11" s="1983" customFormat="1" ht="13.5" customHeight="1" thickBot="1">
      <c r="A36" s="284" t="s">
        <v>1843</v>
      </c>
      <c r="B36" s="2741"/>
      <c r="C36" s="2780">
        <f ca="1">ROUND((C6-C30-C33)/(1+D30+D33),0)</f>
        <v>71762</v>
      </c>
      <c r="D36" s="2741"/>
      <c r="E36" s="2741"/>
      <c r="F36" s="2741"/>
      <c r="G36" s="2740" t="s">
        <v>2839</v>
      </c>
      <c r="H36" s="2741"/>
      <c r="I36" s="2741"/>
      <c r="J36" s="2741"/>
      <c r="K36" s="274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323" t="str">
        <f>项目基本情况!B1</f>
        <v>惠州市广东省惠州市大亚湾经济技术开发区霞涌镇乌山头地段出让国有建设用地使用权抵押价格预评估</v>
      </c>
      <c r="C37" s="3323"/>
      <c r="D37" s="3323"/>
      <c r="E37" s="3323"/>
      <c r="F37" s="3323"/>
      <c r="G37" s="3323"/>
      <c r="H37" s="3323"/>
      <c r="I37" s="3323"/>
    </row>
    <row r="38" spans="1:9">
      <c r="A38" s="1657"/>
      <c r="B38" s="1657"/>
    </row>
    <row r="39" spans="1:9">
      <c r="A39" s="1655" t="s">
        <v>1900</v>
      </c>
      <c r="B39" s="1655" t="s">
        <v>2044</v>
      </c>
    </row>
    <row r="40" spans="1:9">
      <c r="A40" s="1655"/>
      <c r="B40" s="1655" t="str">
        <f>项目基本情况!B5</f>
        <v>待定</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梁津、王鹏</v>
      </c>
    </row>
    <row r="47" spans="1:9">
      <c r="A47" s="1655"/>
      <c r="B47" s="1655"/>
    </row>
    <row r="48" spans="1:9">
      <c r="A48" s="1655" t="s">
        <v>1900</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421" t="s">
        <v>463</v>
      </c>
      <c r="B1" s="2724"/>
      <c r="C1" s="2002"/>
      <c r="D1" s="2002"/>
      <c r="E1" s="2002"/>
      <c r="F1" s="2002"/>
      <c r="G1" s="2002"/>
      <c r="H1" s="2002"/>
      <c r="I1" s="2002"/>
      <c r="J1" s="2002"/>
      <c r="K1" s="422">
        <f>MATCH(B1,'数据-取费表'!A6:A16,0)+5</f>
        <v>8</v>
      </c>
    </row>
    <row r="2" spans="1:41" s="1939" customFormat="1" ht="18" customHeight="1">
      <c r="A2" s="423" t="s">
        <v>464</v>
      </c>
      <c r="B2" s="424">
        <f ca="1">C32</f>
        <v>0</v>
      </c>
      <c r="C2" s="2002"/>
      <c r="D2" s="2002"/>
      <c r="E2" s="2002"/>
      <c r="F2" s="2002"/>
      <c r="G2" s="2002"/>
      <c r="H2" s="2002"/>
      <c r="I2" s="2002"/>
      <c r="J2" s="2002"/>
      <c r="K2" s="2002"/>
    </row>
    <row r="3" spans="1:41" s="1939" customFormat="1" ht="18" customHeight="1">
      <c r="A3" s="1380" t="s">
        <v>1683</v>
      </c>
      <c r="B3" s="425">
        <f ca="1">ROUND(B2*10000/IF(B1="",'数据-汇总表'!E3,INDIRECT("'数据-取费表'!K"&amp;$K$1)),0)</f>
        <v>0</v>
      </c>
      <c r="C3" s="2002"/>
      <c r="D3" s="2002"/>
      <c r="E3" s="2002"/>
      <c r="F3" s="2002"/>
      <c r="G3" s="2002"/>
      <c r="H3" s="2002"/>
      <c r="I3" s="2002"/>
      <c r="J3" s="2002"/>
      <c r="K3" s="2002"/>
    </row>
    <row r="4" spans="1:41" s="1939" customFormat="1" ht="18" customHeight="1">
      <c r="A4" s="426" t="s">
        <v>465</v>
      </c>
      <c r="B4" s="427">
        <f ca="1">ROUND(B2*10000/IF(B1="",'数据-汇总表'!D3,INDIRECT("'数据-取费表'!R"&amp;$K$1)),0)</f>
        <v>0</v>
      </c>
      <c r="C4" s="1959"/>
      <c r="D4" s="2002"/>
      <c r="E4" s="2002"/>
      <c r="F4" s="2002"/>
      <c r="G4" s="2002"/>
      <c r="H4" s="2002"/>
      <c r="I4" s="2002"/>
      <c r="J4" s="2002"/>
      <c r="K4" s="2002"/>
    </row>
    <row r="5" spans="1:41" s="1939" customFormat="1" ht="18" customHeight="1" thickBot="1">
      <c r="A5" s="429"/>
      <c r="B5" s="430">
        <f ca="1">ROUND(B2/(IF(B1="",'数据-汇总表'!D3,INDIRECT("'数据-取费表'!R"&amp;$K$1))/666.67),0)</f>
        <v>0</v>
      </c>
      <c r="C5" s="431" t="s">
        <v>466</v>
      </c>
      <c r="D5" s="2002"/>
      <c r="E5" s="2002"/>
      <c r="F5" s="2002"/>
      <c r="G5" s="2002"/>
      <c r="H5" s="2002"/>
      <c r="I5" s="2002"/>
      <c r="J5" s="2002"/>
      <c r="K5" s="2002"/>
    </row>
    <row r="6" spans="1:41" s="2009" customFormat="1" ht="16.5" customHeight="1">
      <c r="A6" s="432" t="s">
        <v>2651</v>
      </c>
      <c r="B6" s="433"/>
      <c r="C6" s="1624">
        <f>SUM(C10:K10)</f>
        <v>0</v>
      </c>
      <c r="D6" s="2007"/>
      <c r="E6" s="2007"/>
      <c r="F6" s="2007"/>
      <c r="G6" s="2007"/>
      <c r="H6" s="2007"/>
      <c r="I6" s="2007"/>
      <c r="J6" s="2007"/>
      <c r="K6" s="2008"/>
    </row>
    <row r="7" spans="1:41" s="2011" customFormat="1" ht="15">
      <c r="A7" s="434" t="s">
        <v>467</v>
      </c>
      <c r="B7" s="435" t="s">
        <v>468</v>
      </c>
      <c r="C7" s="436"/>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632" t="s">
        <v>1844</v>
      </c>
      <c r="B8" s="438" t="s">
        <v>469</v>
      </c>
      <c r="C8" s="439"/>
      <c r="D8" s="439"/>
      <c r="E8" s="439"/>
      <c r="F8" s="439"/>
      <c r="G8" s="439"/>
      <c r="H8" s="439"/>
      <c r="I8" s="439"/>
      <c r="J8" s="439"/>
      <c r="K8" s="440"/>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633" t="s">
        <v>1846</v>
      </c>
      <c r="B10" s="1625" t="s">
        <v>471</v>
      </c>
      <c r="C10" s="1626"/>
      <c r="D10" s="1626"/>
      <c r="E10" s="1626"/>
      <c r="F10" s="1627"/>
      <c r="G10" s="1627"/>
      <c r="H10" s="1627"/>
      <c r="I10" s="1627"/>
      <c r="J10" s="1627"/>
      <c r="K10" s="162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621" t="s">
        <v>1863</v>
      </c>
      <c r="B11" s="1622"/>
      <c r="C11" s="1622"/>
      <c r="D11" s="1622"/>
      <c r="E11" s="1622"/>
      <c r="F11" s="1622"/>
      <c r="G11" s="1622"/>
      <c r="H11" s="1622"/>
      <c r="I11" s="1622"/>
      <c r="J11" s="1622"/>
      <c r="K11" s="1623"/>
    </row>
    <row r="12" spans="1:41" s="1983" customFormat="1" ht="13.5" customHeight="1">
      <c r="A12" s="434" t="s">
        <v>467</v>
      </c>
      <c r="B12" s="444" t="s">
        <v>468</v>
      </c>
      <c r="C12" s="445" t="s">
        <v>472</v>
      </c>
      <c r="D12" s="446" t="s">
        <v>473</v>
      </c>
      <c r="E12" s="446" t="s">
        <v>474</v>
      </c>
      <c r="F12" s="446" t="s">
        <v>475</v>
      </c>
      <c r="G12" s="444"/>
      <c r="H12" s="447"/>
      <c r="I12" s="447"/>
      <c r="J12" s="447"/>
      <c r="K12" s="448"/>
    </row>
    <row r="13" spans="1:41" s="2014" customFormat="1" ht="13.5" customHeight="1">
      <c r="A13" s="1634" t="s">
        <v>1847</v>
      </c>
      <c r="B13" s="449" t="s">
        <v>476</v>
      </c>
      <c r="C13" s="450">
        <f ca="1">IF(B1="",'数据-取费表'!M16,INDIRECT("'数据-取费表'!M"&amp;$K$1)+INDIRECT("'数据-取费表'!t"&amp;$K$1))</f>
        <v>49374</v>
      </c>
      <c r="D13" s="451"/>
      <c r="E13" s="365"/>
      <c r="F13" s="452"/>
      <c r="G13" s="444"/>
      <c r="H13" s="447"/>
      <c r="I13" s="447"/>
      <c r="J13" s="447"/>
      <c r="K13" s="448"/>
    </row>
    <row r="14" spans="1:41" s="2014" customFormat="1" ht="13.5" customHeight="1">
      <c r="A14" s="1634" t="s">
        <v>1848</v>
      </c>
      <c r="B14" s="449" t="s">
        <v>477</v>
      </c>
      <c r="C14" s="53">
        <f ca="1">ROUND(C13*F14,0)</f>
        <v>2469</v>
      </c>
      <c r="D14" s="451"/>
      <c r="E14" s="365"/>
      <c r="F14" s="453">
        <f>'数据-取费表'!B33</f>
        <v>0.05</v>
      </c>
      <c r="G14" s="444" t="s">
        <v>500</v>
      </c>
      <c r="H14" s="447"/>
      <c r="I14" s="447"/>
      <c r="J14" s="447"/>
      <c r="K14" s="448"/>
    </row>
    <row r="15" spans="1:41" s="2014" customFormat="1" ht="13.5" customHeight="1">
      <c r="A15" s="1634" t="s">
        <v>1849</v>
      </c>
      <c r="B15" s="449" t="s">
        <v>479</v>
      </c>
      <c r="C15" s="53">
        <f ca="1">ROUND(IF(B1="",SUMIF('数据-取费表'!C:C,"住宅",'数据-取费表'!M:M)*F15,IF(INDIRECT("'数据-取费表'!c"&amp;$K$1)="住宅",INDIRECT("'数据-取费表'!M"&amp;$K$1)*F15,0)),0)</f>
        <v>4937</v>
      </c>
      <c r="D15" s="451"/>
      <c r="E15" s="365"/>
      <c r="F15" s="453">
        <f>'数据-取费表'!B34</f>
        <v>0.1</v>
      </c>
      <c r="G15" s="444" t="s">
        <v>500</v>
      </c>
      <c r="H15" s="447"/>
      <c r="I15" s="447"/>
      <c r="J15" s="447"/>
      <c r="K15" s="448"/>
    </row>
    <row r="16" spans="1:41" s="2015" customFormat="1" ht="13.5" customHeight="1">
      <c r="A16" s="1634" t="s">
        <v>1850</v>
      </c>
      <c r="B16" s="449" t="s">
        <v>481</v>
      </c>
      <c r="C16" s="53">
        <f ca="1">ROUND(D16*E16/10000,0)</f>
        <v>3086</v>
      </c>
      <c r="D16" s="451">
        <f ca="1">IF(B1="",'数据-汇总表'!E3,INDIRECT("'数据-取费表'!K"&amp;$K$1)+INDIRECT("'数据-取费表'!S"&amp;$K$1))</f>
        <v>154292.6</v>
      </c>
      <c r="E16" s="53">
        <f>'数据-取费表'!B35</f>
        <v>200</v>
      </c>
      <c r="F16" s="453"/>
      <c r="G16" s="444"/>
      <c r="H16" s="447"/>
      <c r="I16" s="447"/>
      <c r="J16" s="447"/>
      <c r="K16" s="448"/>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634" t="s">
        <v>1851</v>
      </c>
      <c r="B17" s="449" t="s">
        <v>482</v>
      </c>
      <c r="C17" s="454">
        <f ca="1">ROUND(C13*F17,0)</f>
        <v>741</v>
      </c>
      <c r="D17" s="455"/>
      <c r="E17" s="454"/>
      <c r="F17" s="456">
        <f>'数据-取费表'!B36</f>
        <v>1.4999999999999999E-2</v>
      </c>
      <c r="G17" s="444" t="s">
        <v>500</v>
      </c>
      <c r="H17" s="457"/>
      <c r="I17" s="457"/>
      <c r="J17" s="457"/>
      <c r="K17" s="458"/>
    </row>
    <row r="18" spans="1:14" s="2017" customFormat="1" ht="13.5" customHeight="1">
      <c r="A18" s="1635" t="s">
        <v>1852</v>
      </c>
      <c r="B18" s="459" t="s">
        <v>484</v>
      </c>
      <c r="C18" s="460">
        <f ca="1">SUM(C13:C17)</f>
        <v>60607</v>
      </c>
      <c r="D18" s="461"/>
      <c r="E18" s="462"/>
      <c r="F18" s="462"/>
      <c r="G18" s="1327" t="s">
        <v>2428</v>
      </c>
      <c r="H18" s="447"/>
      <c r="I18" s="447"/>
      <c r="J18" s="447"/>
      <c r="K18" s="448"/>
    </row>
    <row r="19" spans="1:14" s="2017" customFormat="1" ht="13.5" customHeight="1">
      <c r="A19" s="1635" t="s">
        <v>1853</v>
      </c>
      <c r="B19" s="459" t="s">
        <v>490</v>
      </c>
      <c r="C19" s="460">
        <f ca="1">ROUND(C18*F19,0)</f>
        <v>909</v>
      </c>
      <c r="D19" s="462"/>
      <c r="E19" s="462"/>
      <c r="F19" s="466">
        <f>'数据-取费表'!B37</f>
        <v>1.4999999999999999E-2</v>
      </c>
      <c r="G19" s="444" t="s">
        <v>501</v>
      </c>
      <c r="H19" s="447"/>
      <c r="I19" s="447"/>
      <c r="J19" s="447"/>
      <c r="K19" s="448"/>
      <c r="L19" s="2019"/>
      <c r="M19" s="2019"/>
      <c r="N19" s="2019"/>
    </row>
    <row r="20" spans="1:14" s="2017" customFormat="1" ht="13.5" customHeight="1">
      <c r="A20" s="1635" t="s">
        <v>1854</v>
      </c>
      <c r="B20" s="459" t="s">
        <v>502</v>
      </c>
      <c r="C20" s="2945">
        <f>F20</f>
        <v>0.03</v>
      </c>
      <c r="D20" s="469" t="s">
        <v>503</v>
      </c>
      <c r="E20" s="469"/>
      <c r="F20" s="486">
        <f>'数据-取费表'!B38</f>
        <v>0.03</v>
      </c>
      <c r="G20" s="1327" t="s">
        <v>504</v>
      </c>
      <c r="H20" s="447"/>
      <c r="I20" s="447"/>
      <c r="J20" s="447"/>
      <c r="K20" s="448"/>
      <c r="L20" s="2019"/>
      <c r="M20" s="2019"/>
      <c r="N20" s="2019"/>
    </row>
    <row r="21" spans="1:14" s="2019" customFormat="1" ht="13.5" customHeight="1">
      <c r="A21" s="1635" t="s">
        <v>1857</v>
      </c>
      <c r="B21" s="461" t="s">
        <v>491</v>
      </c>
      <c r="C21" s="470">
        <f ca="1">C22</f>
        <v>4435</v>
      </c>
      <c r="D21" s="467">
        <f ca="1">C23</f>
        <v>2.2000000000000001E-3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016" t="s">
        <v>2450</v>
      </c>
    </row>
    <row r="22" spans="1:14" s="2018" customFormat="1" ht="13.5" customHeight="1">
      <c r="A22" s="1634" t="s">
        <v>1847</v>
      </c>
      <c r="B22" s="1328" t="s">
        <v>2431</v>
      </c>
      <c r="C22" s="487">
        <f ca="1">ROUND(IF('数据-取费表'!B22&lt;=1,(C18+C19)*F21*'数据-取费表'!B20/2,(C18+C19)*(POWER((1+F21),'数据-取费表'!B20/2)-1)),0)</f>
        <v>4435</v>
      </c>
      <c r="D22" s="472"/>
      <c r="E22" s="473"/>
      <c r="F22" s="474"/>
      <c r="G22" s="2486" t="str">
        <f>IF('数据-取费表'!B22&lt;=1,"((1)+(2))×年利率×建设期÷2","((1)+(2))×((1+年利率)^(建设期÷2)-1)")</f>
        <v>((1)+(2))×((1+年利率)^(建设期÷2)-1)</v>
      </c>
      <c r="H22" s="457"/>
      <c r="I22" s="457"/>
      <c r="J22" s="457"/>
      <c r="K22" s="458"/>
    </row>
    <row r="23" spans="1:14" s="2018" customFormat="1" ht="13.5" customHeight="1">
      <c r="A23" s="1634" t="s">
        <v>1848</v>
      </c>
      <c r="B23" s="1328" t="s">
        <v>506</v>
      </c>
      <c r="C23" s="488">
        <f ca="1">ROUND(IF('数据-取费表'!B22&lt;=1,F20*F21*'数据-取费表'!B20/2,F20*(POWER((1+F21),'数据-取费表'!B20/2)-1)),4)</f>
        <v>2.2000000000000001E-3</v>
      </c>
      <c r="D23" s="472"/>
      <c r="E23" s="473"/>
      <c r="F23" s="474"/>
      <c r="G23" s="2486" t="str">
        <f>IF('数据-取费表'!B22&lt;=1,"销售费用率×年利率×建设期÷2","销售费用率×((1+年利率)^(建设期÷2)-1)")</f>
        <v>销售费用率×((1+年利率)^(建设期÷2)-1)</v>
      </c>
      <c r="H23" s="457"/>
      <c r="I23" s="457"/>
      <c r="J23" s="457"/>
      <c r="K23" s="458"/>
    </row>
    <row r="24" spans="1:14" s="2018" customFormat="1" ht="13.5" customHeight="1">
      <c r="A24" s="1635" t="s">
        <v>1858</v>
      </c>
      <c r="B24" s="2947" t="s">
        <v>2831</v>
      </c>
      <c r="C24" s="478">
        <f ca="1">C25</f>
        <v>9227</v>
      </c>
      <c r="D24" s="489">
        <f ca="1">C26</f>
        <v>4.4999999999999997E-3</v>
      </c>
      <c r="E24" s="469" t="s">
        <v>505</v>
      </c>
      <c r="F24" s="479">
        <f ca="1">IF(B1="",'数据-取费表'!Q16,INDIRECT("'数据-取费表'!q"&amp;$K$1))</f>
        <v>0.15</v>
      </c>
      <c r="G24" s="444"/>
      <c r="H24" s="447"/>
      <c r="I24" s="447"/>
      <c r="J24" s="447"/>
      <c r="K24" s="448"/>
    </row>
    <row r="25" spans="1:14" s="2018" customFormat="1" ht="13.5" customHeight="1">
      <c r="A25" s="1634" t="s">
        <v>1847</v>
      </c>
      <c r="B25" s="1328" t="s">
        <v>2432</v>
      </c>
      <c r="C25" s="490">
        <f ca="1">ROUND((C18+C19)*F24,0)</f>
        <v>9227</v>
      </c>
      <c r="D25" s="472"/>
      <c r="E25" s="473"/>
      <c r="F25" s="480"/>
      <c r="G25" s="1326" t="s">
        <v>2429</v>
      </c>
      <c r="H25" s="457"/>
      <c r="I25" s="457"/>
      <c r="J25" s="457"/>
      <c r="K25" s="458"/>
    </row>
    <row r="26" spans="1:14" s="2018" customFormat="1" ht="13.5" customHeight="1">
      <c r="A26" s="1634" t="s">
        <v>1848</v>
      </c>
      <c r="B26" s="1328" t="s">
        <v>507</v>
      </c>
      <c r="C26" s="491">
        <f ca="1">ROUND(F20*F24,4)</f>
        <v>4.4999999999999997E-3</v>
      </c>
      <c r="D26" s="472"/>
      <c r="E26" s="481"/>
      <c r="F26" s="480"/>
      <c r="G26" s="1326" t="s">
        <v>508</v>
      </c>
      <c r="H26" s="457"/>
      <c r="I26" s="457"/>
      <c r="J26" s="457"/>
      <c r="K26" s="458"/>
    </row>
    <row r="27" spans="1:14" s="2018" customFormat="1" ht="13.5" customHeight="1">
      <c r="A27" s="1638" t="s">
        <v>1866</v>
      </c>
      <c r="B27" s="459" t="s">
        <v>509</v>
      </c>
      <c r="C27" s="2946">
        <f>ROUND(F27/(1+'数据-取费表'!C42),4)</f>
        <v>5.33E-2</v>
      </c>
      <c r="D27" s="462" t="s">
        <v>2829</v>
      </c>
      <c r="E27" s="462"/>
      <c r="F27" s="466">
        <f>'数据-取费表'!B41</f>
        <v>5.6000000000000001E-2</v>
      </c>
      <c r="G27" s="1858" t="s">
        <v>2289</v>
      </c>
      <c r="H27" s="447"/>
      <c r="I27" s="447"/>
      <c r="J27" s="447"/>
      <c r="K27" s="448"/>
    </row>
    <row r="28" spans="1:14" s="2019" customFormat="1" ht="13.5" customHeight="1">
      <c r="A28" s="1638" t="s">
        <v>1867</v>
      </c>
      <c r="B28" s="476" t="s">
        <v>510</v>
      </c>
      <c r="C28" s="470">
        <f ca="1">ROUND((C18+C19+C21+C24)/(1-C20-D21-D24-C27),0)</f>
        <v>82613</v>
      </c>
      <c r="D28" s="477"/>
      <c r="E28" s="469"/>
      <c r="F28" s="471"/>
      <c r="G28" s="1327" t="s">
        <v>2430</v>
      </c>
      <c r="H28" s="447"/>
      <c r="I28" s="447"/>
      <c r="J28" s="447"/>
      <c r="K28" s="448"/>
    </row>
    <row r="29" spans="1:14" s="2019" customFormat="1" ht="13.5" customHeight="1">
      <c r="A29" s="1638" t="s">
        <v>1868</v>
      </c>
      <c r="B29" s="476" t="s">
        <v>511</v>
      </c>
      <c r="C29" s="492">
        <f ca="1">IF(B1="",'数据-取费表'!N16,INDIRECT("'数据-取费表'!N"&amp;$K$1))</f>
        <v>0</v>
      </c>
      <c r="D29" s="493"/>
      <c r="E29" s="494"/>
      <c r="F29" s="495"/>
      <c r="G29" s="444"/>
      <c r="H29" s="447"/>
      <c r="I29" s="447"/>
      <c r="J29" s="447"/>
      <c r="K29" s="448"/>
    </row>
    <row r="30" spans="1:14" s="2019" customFormat="1" ht="13.5" customHeight="1">
      <c r="A30" s="443">
        <v>2</v>
      </c>
      <c r="B30" s="476" t="s">
        <v>512</v>
      </c>
      <c r="C30" s="497">
        <f ca="1">ROUND(C28*C29,0)</f>
        <v>0</v>
      </c>
      <c r="D30" s="493"/>
      <c r="E30" s="498"/>
      <c r="F30" s="499"/>
      <c r="G30" s="1329" t="s">
        <v>513</v>
      </c>
      <c r="H30" s="496"/>
      <c r="I30" s="496"/>
      <c r="J30" s="447"/>
      <c r="K30" s="448"/>
    </row>
    <row r="31" spans="1:14" s="2024" customFormat="1" ht="13.5" customHeight="1">
      <c r="A31" s="2401" t="s">
        <v>1864</v>
      </c>
      <c r="B31" s="1330"/>
      <c r="C31" s="500">
        <f>ROUND(C6*F31/(1+'数据-取费表'!C42),0)</f>
        <v>0</v>
      </c>
      <c r="D31" s="1331"/>
      <c r="E31" s="1331"/>
      <c r="F31" s="501">
        <f>'数据-取费表'!B41</f>
        <v>5.6000000000000001E-2</v>
      </c>
      <c r="G31" s="1332"/>
      <c r="H31" s="1332"/>
      <c r="I31" s="1332"/>
      <c r="J31" s="1333"/>
      <c r="K31" s="1334"/>
    </row>
    <row r="32" spans="1:14" s="19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02" t="s">
        <v>2451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L44" sqref="L4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72456</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4696</v>
      </c>
      <c r="C3" s="1959"/>
      <c r="D3" s="248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6574</v>
      </c>
      <c r="C4" s="1959"/>
      <c r="D4" s="248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438</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5"/>
      <c r="AC5" s="428"/>
    </row>
    <row r="6" spans="1:30" ht="20.25">
      <c r="A6" s="512" t="s">
        <v>519</v>
      </c>
      <c r="B6" s="513"/>
      <c r="C6" s="3556" t="s">
        <v>520</v>
      </c>
      <c r="D6" s="3557"/>
      <c r="E6" s="3556" t="s">
        <v>521</v>
      </c>
      <c r="F6" s="3557"/>
      <c r="G6" s="3556" t="s">
        <v>522</v>
      </c>
      <c r="H6" s="3557"/>
      <c r="I6" s="3556" t="s">
        <v>523</v>
      </c>
      <c r="J6" s="3557"/>
      <c r="K6" s="514" t="s">
        <v>524</v>
      </c>
      <c r="L6" s="2031"/>
      <c r="M6" s="2030"/>
      <c r="N6" s="2030"/>
      <c r="O6" s="2032"/>
      <c r="P6" s="3558" t="s">
        <v>525</v>
      </c>
      <c r="Q6" s="3559"/>
      <c r="R6" s="3544" t="s">
        <v>521</v>
      </c>
      <c r="S6" s="3545"/>
      <c r="T6" s="3544" t="s">
        <v>522</v>
      </c>
      <c r="U6" s="3545"/>
      <c r="V6" s="3564" t="s">
        <v>523</v>
      </c>
      <c r="W6" s="3564"/>
      <c r="X6" s="1568"/>
      <c r="Y6" s="3544" t="s">
        <v>525</v>
      </c>
      <c r="Z6" s="3545"/>
      <c r="AA6" s="3539" t="s">
        <v>521</v>
      </c>
      <c r="AB6" s="3540" t="s">
        <v>522</v>
      </c>
      <c r="AC6" s="3539" t="s">
        <v>523</v>
      </c>
    </row>
    <row r="7" spans="1:30" ht="20.25">
      <c r="A7" s="515"/>
      <c r="B7" s="516"/>
      <c r="C7" s="3567" t="s">
        <v>3199</v>
      </c>
      <c r="D7" s="3568"/>
      <c r="E7" s="3567" t="s">
        <v>3200</v>
      </c>
      <c r="F7" s="3568"/>
      <c r="G7" s="3567" t="s">
        <v>3202</v>
      </c>
      <c r="H7" s="3568"/>
      <c r="I7" s="3567" t="s">
        <v>3203</v>
      </c>
      <c r="J7" s="3568"/>
      <c r="K7" s="514"/>
      <c r="L7" s="2031"/>
      <c r="M7" s="2030"/>
      <c r="N7" s="2030"/>
      <c r="O7" s="2032"/>
      <c r="P7" s="3560"/>
      <c r="Q7" s="3561"/>
      <c r="R7" s="3546"/>
      <c r="S7" s="3547"/>
      <c r="T7" s="3546"/>
      <c r="U7" s="3547"/>
      <c r="V7" s="3564"/>
      <c r="W7" s="3564"/>
      <c r="X7" s="1568"/>
      <c r="Y7" s="3546"/>
      <c r="Z7" s="3547"/>
      <c r="AA7" s="3540"/>
      <c r="AB7" s="3540"/>
      <c r="AC7" s="3540"/>
    </row>
    <row r="8" spans="1:30" ht="35.65" customHeight="1" thickBot="1">
      <c r="A8" s="515"/>
      <c r="B8" s="516"/>
      <c r="C8" s="3569" t="str">
        <f>项目基本情况!F10</f>
        <v>广东省惠州市大亚湾经济技术开发区霞涌镇乌山头地段</v>
      </c>
      <c r="D8" s="3566"/>
      <c r="E8" s="3565" t="s">
        <v>3201</v>
      </c>
      <c r="F8" s="3566"/>
      <c r="G8" s="3565" t="s">
        <v>3204</v>
      </c>
      <c r="H8" s="3566"/>
      <c r="I8" s="3565" t="str">
        <f>G8</f>
        <v>惠东县稔山镇大浦屯</v>
      </c>
      <c r="J8" s="3566"/>
      <c r="K8" s="514" t="s">
        <v>526</v>
      </c>
      <c r="L8" s="2031"/>
      <c r="M8" s="2030"/>
      <c r="N8" s="2030"/>
      <c r="O8" s="2032"/>
      <c r="P8" s="3562"/>
      <c r="Q8" s="3563"/>
      <c r="R8" s="3546"/>
      <c r="S8" s="3547"/>
      <c r="T8" s="3548"/>
      <c r="U8" s="3549"/>
      <c r="V8" s="3564"/>
      <c r="W8" s="3564"/>
      <c r="X8" s="1568"/>
      <c r="Y8" s="3548"/>
      <c r="Z8" s="3549"/>
      <c r="AA8" s="3541"/>
      <c r="AB8" s="3541"/>
      <c r="AC8" s="3541"/>
    </row>
    <row r="9" spans="1:30" s="1220" customFormat="1" ht="21" thickBot="1">
      <c r="A9" s="2827"/>
      <c r="B9" s="2834" t="s">
        <v>527</v>
      </c>
      <c r="C9" s="2826">
        <f>'数据-取费表'!B2</f>
        <v>43095</v>
      </c>
      <c r="D9" s="520">
        <v>100</v>
      </c>
      <c r="E9" s="521">
        <v>42947</v>
      </c>
      <c r="F9" s="522">
        <f>SUMIF(72:72,YEAR(E9)&amp;"-"&amp;INT((MONTH(E9)+2)/3),73:73)</f>
        <v>99</v>
      </c>
      <c r="G9" s="523">
        <v>42790</v>
      </c>
      <c r="H9" s="520">
        <f>SUMIF(72:72,YEAR(G9)&amp;"-"&amp;INT((MONTH(G9)+2)/3),73:73)</f>
        <v>97</v>
      </c>
      <c r="I9" s="523">
        <v>42790</v>
      </c>
      <c r="J9" s="520">
        <f>SUMIF(72:72,YEAR(I9)&amp;"-"&amp;INT((MONTH(I9)+2)/3),73:73)</f>
        <v>97</v>
      </c>
      <c r="K9" s="524"/>
      <c r="L9" s="2033"/>
      <c r="M9" s="2030"/>
      <c r="N9" s="2030"/>
      <c r="O9" s="2034"/>
      <c r="P9" s="3542" t="s">
        <v>528</v>
      </c>
      <c r="Q9" s="3551"/>
      <c r="R9" s="1569" t="s">
        <v>8</v>
      </c>
      <c r="S9" s="1570">
        <f t="shared" ref="S9:S17" si="0">F9</f>
        <v>99</v>
      </c>
      <c r="T9" s="1569" t="s">
        <v>8</v>
      </c>
      <c r="U9" s="1570">
        <f t="shared" ref="U9:U17" si="1">H9</f>
        <v>97</v>
      </c>
      <c r="V9" s="1569" t="s">
        <v>8</v>
      </c>
      <c r="W9" s="1570">
        <f t="shared" ref="W9:W17" si="2">J9</f>
        <v>97</v>
      </c>
      <c r="X9" s="1571"/>
      <c r="Y9" s="3542" t="s">
        <v>528</v>
      </c>
      <c r="Z9" s="3543"/>
      <c r="AA9" s="1572">
        <f>D9/F9</f>
        <v>1.0101010101010102</v>
      </c>
      <c r="AB9" s="1572">
        <f>D9/H9</f>
        <v>1.0309278350515463</v>
      </c>
      <c r="AC9" s="1572">
        <f>D9/J9</f>
        <v>1.0309278350515463</v>
      </c>
    </row>
    <row r="10" spans="1:30" s="1220" customFormat="1" ht="21" thickBot="1">
      <c r="A10" s="2828"/>
      <c r="B10" s="2835"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033"/>
      <c r="M10" s="2030"/>
      <c r="N10" s="2030"/>
      <c r="O10" s="2034"/>
      <c r="P10" s="3542" t="s">
        <v>531</v>
      </c>
      <c r="Q10" s="3543"/>
      <c r="R10" s="1569" t="s">
        <v>8</v>
      </c>
      <c r="S10" s="1570">
        <f t="shared" si="0"/>
        <v>100</v>
      </c>
      <c r="T10" s="1569" t="s">
        <v>8</v>
      </c>
      <c r="U10" s="1570">
        <f t="shared" si="1"/>
        <v>100</v>
      </c>
      <c r="V10" s="1569" t="s">
        <v>8</v>
      </c>
      <c r="W10" s="1570">
        <f t="shared" si="2"/>
        <v>100</v>
      </c>
      <c r="X10" s="1571"/>
      <c r="Y10" s="3542" t="s">
        <v>531</v>
      </c>
      <c r="Z10" s="3543"/>
      <c r="AA10" s="1572">
        <f t="shared" ref="AA10:AA47" si="3">D10/F10</f>
        <v>1</v>
      </c>
      <c r="AB10" s="1572">
        <f t="shared" ref="AB10:AB47" si="4">D10/H10</f>
        <v>1</v>
      </c>
      <c r="AC10" s="1572">
        <f t="shared" ref="AC10:AC47" si="5">D10/J10</f>
        <v>1</v>
      </c>
    </row>
    <row r="11" spans="1:30" s="1220" customFormat="1" ht="20.25">
      <c r="A11" s="2829"/>
      <c r="B11" s="2836" t="s">
        <v>2755</v>
      </c>
      <c r="C11" s="2823" t="s">
        <v>3174</v>
      </c>
      <c r="D11" s="254">
        <v>100</v>
      </c>
      <c r="E11" s="2823" t="s">
        <v>3174</v>
      </c>
      <c r="F11" s="254">
        <f>SUMIF(77:77,E11,78:78)-SUMIF(77:77,C11,78:78)+100</f>
        <v>100</v>
      </c>
      <c r="G11" s="2823" t="s">
        <v>3174</v>
      </c>
      <c r="H11" s="254">
        <f>SUMIF(77:77,G11,78:78)-SUMIF(77:77,C11,78:78)+100</f>
        <v>100</v>
      </c>
      <c r="I11" s="2823" t="s">
        <v>3174</v>
      </c>
      <c r="J11" s="254">
        <f>SUMIF(77:77,I11,78:78)-SUMIF(77:77,C11,78:78)+100</f>
        <v>100</v>
      </c>
      <c r="K11" s="524"/>
      <c r="L11" s="2033"/>
      <c r="M11" s="2030"/>
      <c r="N11" s="2030"/>
      <c r="O11" s="2035"/>
      <c r="P11" s="3550" t="s">
        <v>533</v>
      </c>
      <c r="Q11" s="1151" t="str">
        <f t="shared" ref="Q11:Q17" si="6">B11</f>
        <v>用途</v>
      </c>
      <c r="R11" s="1569" t="s">
        <v>8</v>
      </c>
      <c r="S11" s="1570">
        <f t="shared" si="0"/>
        <v>100</v>
      </c>
      <c r="T11" s="1569" t="s">
        <v>8</v>
      </c>
      <c r="U11" s="1570">
        <f t="shared" si="1"/>
        <v>100</v>
      </c>
      <c r="V11" s="1569" t="s">
        <v>8</v>
      </c>
      <c r="W11" s="1570">
        <f t="shared" si="2"/>
        <v>100</v>
      </c>
      <c r="X11" s="1571"/>
      <c r="Y11" s="3507" t="s">
        <v>534</v>
      </c>
      <c r="Z11" s="1150" t="str">
        <f t="shared" ref="Z11:Z17" si="7">Q11</f>
        <v>用途</v>
      </c>
      <c r="AA11" s="1572">
        <f t="shared" si="3"/>
        <v>1</v>
      </c>
      <c r="AB11" s="1572">
        <f t="shared" si="4"/>
        <v>1</v>
      </c>
      <c r="AC11" s="1572">
        <f t="shared" si="5"/>
        <v>1</v>
      </c>
    </row>
    <row r="12" spans="1:30" s="1338" customFormat="1" ht="27">
      <c r="A12" s="2830"/>
      <c r="B12" s="2835" t="s">
        <v>2756</v>
      </c>
      <c r="C12" s="910">
        <f>'数据-取费表'!F6</f>
        <v>63.91</v>
      </c>
      <c r="D12" s="255">
        <v>100</v>
      </c>
      <c r="E12" s="910">
        <v>70</v>
      </c>
      <c r="F12" s="255">
        <f>ROUND(100/'数据-取费表'!G16,0)</f>
        <v>102</v>
      </c>
      <c r="G12" s="530" t="s">
        <v>3198</v>
      </c>
      <c r="H12" s="255">
        <f>ROUND(100/'数据-取费表'!G16,0)</f>
        <v>102</v>
      </c>
      <c r="I12" s="530" t="s">
        <v>3198</v>
      </c>
      <c r="J12" s="255">
        <f>ROUND(100/'数据-取费表'!G16,0)</f>
        <v>102</v>
      </c>
      <c r="K12" s="531"/>
      <c r="L12" s="2036"/>
      <c r="M12" s="2030"/>
      <c r="N12" s="2030"/>
      <c r="O12" s="2037"/>
      <c r="P12" s="3550"/>
      <c r="Q12" s="1151" t="str">
        <f t="shared" si="6"/>
        <v>土地使用年限（年）</v>
      </c>
      <c r="R12" s="1569" t="s">
        <v>8</v>
      </c>
      <c r="S12" s="1570">
        <f t="shared" si="0"/>
        <v>102</v>
      </c>
      <c r="T12" s="1569" t="s">
        <v>8</v>
      </c>
      <c r="U12" s="1570">
        <f t="shared" si="1"/>
        <v>102</v>
      </c>
      <c r="V12" s="1569" t="s">
        <v>8</v>
      </c>
      <c r="W12" s="1570">
        <f t="shared" si="2"/>
        <v>102</v>
      </c>
      <c r="X12" s="1571"/>
      <c r="Y12" s="3507"/>
      <c r="Z12" s="1150" t="str">
        <f t="shared" si="7"/>
        <v>土地使用年限（年）</v>
      </c>
      <c r="AA12" s="1572">
        <f t="shared" si="3"/>
        <v>0.98039215686274506</v>
      </c>
      <c r="AB12" s="1572">
        <f t="shared" si="4"/>
        <v>0.98039215686274506</v>
      </c>
      <c r="AC12" s="1572">
        <f t="shared" si="5"/>
        <v>0.98039215686274506</v>
      </c>
    </row>
    <row r="13" spans="1:30" ht="21" thickBot="1">
      <c r="A13" s="2831"/>
      <c r="B13" s="2835" t="s">
        <v>2757</v>
      </c>
      <c r="C13" s="534">
        <f>'数据-汇总表'!I6</f>
        <v>1.4</v>
      </c>
      <c r="D13" s="255">
        <v>100</v>
      </c>
      <c r="E13" s="533">
        <v>2.5</v>
      </c>
      <c r="F13" s="255">
        <f>LOOKUP(E13,82:82,83:83)-LOOKUP(C13,82:82,83:83)+100</f>
        <v>91</v>
      </c>
      <c r="G13" s="534">
        <v>2.2000000000000002</v>
      </c>
      <c r="H13" s="255">
        <f>LOOKUP(G13,82:82,83:83)-LOOKUP(C13,82:82,83:83)+100</f>
        <v>94</v>
      </c>
      <c r="I13" s="533">
        <v>2.2000000000000002</v>
      </c>
      <c r="J13" s="255">
        <f>LOOKUP(I13,82:82,83:83)-LOOKUP(C13,82:82,83:83)+100</f>
        <v>94</v>
      </c>
      <c r="K13" s="535">
        <v>3</v>
      </c>
      <c r="L13" s="2038"/>
      <c r="M13" s="2030"/>
      <c r="N13" s="2030"/>
      <c r="O13" s="2039"/>
      <c r="P13" s="3550"/>
      <c r="Q13" s="1151" t="str">
        <f t="shared" si="6"/>
        <v>容积率</v>
      </c>
      <c r="R13" s="1569" t="s">
        <v>8</v>
      </c>
      <c r="S13" s="1570">
        <f t="shared" si="0"/>
        <v>91</v>
      </c>
      <c r="T13" s="1569" t="s">
        <v>8</v>
      </c>
      <c r="U13" s="1570">
        <f t="shared" si="1"/>
        <v>94</v>
      </c>
      <c r="V13" s="1569" t="s">
        <v>8</v>
      </c>
      <c r="W13" s="1570">
        <f t="shared" si="2"/>
        <v>94</v>
      </c>
      <c r="X13" s="1571"/>
      <c r="Y13" s="3507"/>
      <c r="Z13" s="1150" t="str">
        <f t="shared" si="7"/>
        <v>容积率</v>
      </c>
      <c r="AA13" s="1572">
        <f t="shared" si="3"/>
        <v>1.098901098901099</v>
      </c>
      <c r="AB13" s="1572">
        <f t="shared" si="4"/>
        <v>1.0638297872340425</v>
      </c>
      <c r="AC13" s="1572">
        <f t="shared" si="5"/>
        <v>1.0638297872340425</v>
      </c>
    </row>
    <row r="14" spans="1:30" s="1220" customFormat="1" ht="20.25" hidden="1">
      <c r="A14" s="2828"/>
      <c r="B14" s="2837" t="s">
        <v>2758</v>
      </c>
      <c r="C14" s="2824"/>
      <c r="D14" s="538">
        <v>100</v>
      </c>
      <c r="E14" s="1375"/>
      <c r="F14" s="255">
        <f>SUMIF(84:84,E14,85:85)-SUMIF(84:84,C14,85:85)+100</f>
        <v>100</v>
      </c>
      <c r="G14" s="530"/>
      <c r="H14" s="255">
        <f>SUMIF(84:84,G14,85:85)-SUMIF(84:84,C14,85:85)+100</f>
        <v>100</v>
      </c>
      <c r="I14" s="529"/>
      <c r="J14" s="255">
        <f>SUMIF(84:84,I14,85:85)-SUMIF(84:84,C14,85:85)+100</f>
        <v>100</v>
      </c>
      <c r="K14" s="531"/>
      <c r="L14" s="2033"/>
      <c r="M14" s="2030"/>
      <c r="N14" s="2030"/>
      <c r="O14" s="2035"/>
      <c r="P14" s="3550"/>
      <c r="Q14" s="1151" t="str">
        <f t="shared" si="6"/>
        <v>配建</v>
      </c>
      <c r="R14" s="1569" t="s">
        <v>8</v>
      </c>
      <c r="S14" s="1570">
        <f t="shared" si="0"/>
        <v>100</v>
      </c>
      <c r="T14" s="1569" t="s">
        <v>8</v>
      </c>
      <c r="U14" s="1570">
        <f t="shared" si="1"/>
        <v>100</v>
      </c>
      <c r="V14" s="1569" t="s">
        <v>8</v>
      </c>
      <c r="W14" s="1570">
        <f t="shared" si="2"/>
        <v>100</v>
      </c>
      <c r="X14" s="1571"/>
      <c r="Y14" s="3507"/>
      <c r="Z14" s="1150" t="str">
        <f t="shared" si="7"/>
        <v>配建</v>
      </c>
      <c r="AA14" s="1572">
        <f>D14/F14</f>
        <v>1</v>
      </c>
      <c r="AB14" s="1572">
        <f>D14/H14</f>
        <v>1</v>
      </c>
      <c r="AC14" s="1572">
        <f>D14/J14</f>
        <v>1</v>
      </c>
    </row>
    <row r="15" spans="1:30" ht="20.25" hidden="1">
      <c r="A15" s="2832"/>
      <c r="B15" s="2838"/>
      <c r="C15" s="912"/>
      <c r="D15" s="540">
        <v>100</v>
      </c>
      <c r="E15" s="541"/>
      <c r="F15" s="255">
        <f>SUMIF(86:86,E15,87:87)-SUMIF(86:86,C15,87:87)+100</f>
        <v>100</v>
      </c>
      <c r="G15" s="542"/>
      <c r="H15" s="540">
        <f>SUMIF(86:86,G15,87:87)-SUMIF(86:86,C15,87:87)+100</f>
        <v>100</v>
      </c>
      <c r="I15" s="542"/>
      <c r="J15" s="540">
        <f>SUMIF(86:86,I15,87:87)-SUMIF(86:86,C15,87:87)+100</f>
        <v>100</v>
      </c>
      <c r="K15" s="531"/>
      <c r="L15" s="2040"/>
      <c r="M15" s="2030"/>
      <c r="N15" s="2030"/>
      <c r="O15" s="2039"/>
      <c r="P15" s="3550"/>
      <c r="Q15" s="1151">
        <f t="shared" si="6"/>
        <v>0</v>
      </c>
      <c r="R15" s="1569" t="s">
        <v>8</v>
      </c>
      <c r="S15" s="1570">
        <f t="shared" si="0"/>
        <v>100</v>
      </c>
      <c r="T15" s="1569" t="s">
        <v>8</v>
      </c>
      <c r="U15" s="1570">
        <f t="shared" si="1"/>
        <v>100</v>
      </c>
      <c r="V15" s="1569" t="s">
        <v>8</v>
      </c>
      <c r="W15" s="1570">
        <f t="shared" si="2"/>
        <v>100</v>
      </c>
      <c r="X15" s="1571"/>
      <c r="Y15" s="3507"/>
      <c r="Z15" s="1150">
        <f t="shared" si="7"/>
        <v>0</v>
      </c>
      <c r="AA15" s="1572">
        <f>D15/F15</f>
        <v>1</v>
      </c>
      <c r="AB15" s="1572">
        <f>D15/H15</f>
        <v>1</v>
      </c>
      <c r="AC15" s="1572">
        <f>D15/J15</f>
        <v>1</v>
      </c>
    </row>
    <row r="16" spans="1:30" ht="21" hidden="1" thickBot="1">
      <c r="A16" s="2833"/>
      <c r="B16" s="2839"/>
      <c r="C16" s="915"/>
      <c r="D16" s="546">
        <v>100</v>
      </c>
      <c r="E16" s="541"/>
      <c r="F16" s="546">
        <f>SUMIF(88:88,E16,89:89)-SUMIF(88:88,C16,89:89)+100</f>
        <v>100</v>
      </c>
      <c r="G16" s="542"/>
      <c r="H16" s="546">
        <f>SUMIF(88:88,G16,89:89)-SUMIF(88:88,C16,89:89)+100</f>
        <v>100</v>
      </c>
      <c r="I16" s="542"/>
      <c r="J16" s="546">
        <f>SUMIF(88:88,I16,89:89)-SUMIF(88:88,C16,89:89)+100</f>
        <v>100</v>
      </c>
      <c r="K16" s="531"/>
      <c r="L16" s="2040"/>
      <c r="M16" s="2030"/>
      <c r="N16" s="2030"/>
      <c r="O16" s="2039"/>
      <c r="P16" s="3550"/>
      <c r="Q16" s="1151">
        <f t="shared" si="6"/>
        <v>0</v>
      </c>
      <c r="R16" s="1569" t="s">
        <v>8</v>
      </c>
      <c r="S16" s="1570">
        <f t="shared" si="0"/>
        <v>100</v>
      </c>
      <c r="T16" s="1569" t="s">
        <v>8</v>
      </c>
      <c r="U16" s="1570">
        <f t="shared" si="1"/>
        <v>100</v>
      </c>
      <c r="V16" s="1569" t="s">
        <v>8</v>
      </c>
      <c r="W16" s="1570">
        <f t="shared" si="2"/>
        <v>100</v>
      </c>
      <c r="X16" s="1571"/>
      <c r="Y16" s="3507"/>
      <c r="Z16" s="1150">
        <f t="shared" si="7"/>
        <v>0</v>
      </c>
      <c r="AA16" s="1572">
        <f>D16/F16</f>
        <v>1</v>
      </c>
      <c r="AB16" s="1572">
        <f>D16/H16</f>
        <v>1</v>
      </c>
      <c r="AC16" s="1572">
        <f>D16/J16</f>
        <v>1</v>
      </c>
    </row>
    <row r="17" spans="1:29" ht="20.25">
      <c r="A17" s="2825" t="s">
        <v>2753</v>
      </c>
      <c r="B17" s="578" t="s">
        <v>295</v>
      </c>
      <c r="C17" s="548">
        <f>估价对象房地状况!C15</f>
        <v>0</v>
      </c>
      <c r="D17" s="551">
        <v>100</v>
      </c>
      <c r="E17" s="552"/>
      <c r="F17" s="549">
        <f>SUMIF(90:90,E18,91:91)-SUMIF(90:90,C18,91:91)+100</f>
        <v>95</v>
      </c>
      <c r="G17" s="550"/>
      <c r="H17" s="549">
        <f>SUMIF(90:90,G18,91:91)-SUMIF(90:90,C18,91:91)+100</f>
        <v>95</v>
      </c>
      <c r="I17" s="552"/>
      <c r="J17" s="549">
        <f>SUMIF(90:90,I18,91:91)-SUMIF(90:90,C18,91:91)+100</f>
        <v>95</v>
      </c>
      <c r="K17" s="535">
        <v>5</v>
      </c>
      <c r="L17" s="2040"/>
      <c r="M17" s="2030"/>
      <c r="N17" s="2030"/>
      <c r="O17" s="2039"/>
      <c r="P17" s="3552" t="s">
        <v>538</v>
      </c>
      <c r="Q17" s="1573" t="str">
        <f t="shared" si="6"/>
        <v>居住社区成熟度</v>
      </c>
      <c r="R17" s="1574" t="s">
        <v>8</v>
      </c>
      <c r="S17" s="1575">
        <f t="shared" si="0"/>
        <v>95</v>
      </c>
      <c r="T17" s="1574" t="s">
        <v>8</v>
      </c>
      <c r="U17" s="1575">
        <f t="shared" si="1"/>
        <v>95</v>
      </c>
      <c r="V17" s="1574" t="s">
        <v>8</v>
      </c>
      <c r="W17" s="1575">
        <f t="shared" si="2"/>
        <v>95</v>
      </c>
      <c r="X17" s="1568"/>
      <c r="Y17" s="3552" t="s">
        <v>538</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3161</v>
      </c>
      <c r="D18" s="557"/>
      <c r="E18" s="558" t="s">
        <v>3162</v>
      </c>
      <c r="F18" s="555"/>
      <c r="G18" s="556" t="s">
        <v>3162</v>
      </c>
      <c r="H18" s="559"/>
      <c r="I18" s="558" t="s">
        <v>3162</v>
      </c>
      <c r="J18" s="555"/>
      <c r="K18" s="531"/>
      <c r="L18" s="2040"/>
      <c r="M18" s="2030"/>
      <c r="N18" s="2030"/>
      <c r="O18" s="2039"/>
      <c r="P18" s="3553"/>
      <c r="Q18" s="1573"/>
      <c r="R18" s="1574"/>
      <c r="S18" s="1575"/>
      <c r="T18" s="1574"/>
      <c r="U18" s="1575"/>
      <c r="V18" s="1574"/>
      <c r="W18" s="1575"/>
      <c r="X18" s="1568"/>
      <c r="Y18" s="3553"/>
      <c r="Z18" s="1576"/>
      <c r="AA18" s="1577">
        <v>1</v>
      </c>
      <c r="AB18" s="1577">
        <v>1</v>
      </c>
      <c r="AC18" s="1577">
        <v>1</v>
      </c>
    </row>
    <row r="19" spans="1:29" ht="20.25" hidden="1">
      <c r="A19" s="532"/>
      <c r="B19" s="560" t="s">
        <v>539</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040"/>
      <c r="M19" s="2030"/>
      <c r="N19" s="2030"/>
      <c r="O19" s="2039"/>
      <c r="P19" s="3553"/>
      <c r="Q19" s="1573" t="str">
        <f>B19</f>
        <v>商业繁华度</v>
      </c>
      <c r="R19" s="1574" t="s">
        <v>8</v>
      </c>
      <c r="S19" s="1575">
        <f>F19</f>
        <v>100</v>
      </c>
      <c r="T19" s="1574" t="s">
        <v>8</v>
      </c>
      <c r="U19" s="1575">
        <f>H19</f>
        <v>100</v>
      </c>
      <c r="V19" s="1574" t="s">
        <v>8</v>
      </c>
      <c r="W19" s="1575">
        <f>J19</f>
        <v>100</v>
      </c>
      <c r="X19" s="1568"/>
      <c r="Y19" s="3553"/>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040"/>
      <c r="M20" s="2030"/>
      <c r="N20" s="2030"/>
      <c r="O20" s="2039"/>
      <c r="P20" s="3553"/>
      <c r="Q20" s="1573"/>
      <c r="R20" s="1574"/>
      <c r="S20" s="1575"/>
      <c r="T20" s="1574"/>
      <c r="U20" s="1575"/>
      <c r="V20" s="1574"/>
      <c r="W20" s="1575"/>
      <c r="X20" s="1568"/>
      <c r="Y20" s="3553"/>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040"/>
      <c r="M21" s="2030"/>
      <c r="N21" s="2030"/>
      <c r="O21" s="2039"/>
      <c r="P21" s="3553"/>
      <c r="Q21" s="1573" t="str">
        <f>B21</f>
        <v>办公集聚程度</v>
      </c>
      <c r="R21" s="1574" t="s">
        <v>8</v>
      </c>
      <c r="S21" s="1575">
        <f>F21</f>
        <v>100</v>
      </c>
      <c r="T21" s="1574" t="s">
        <v>8</v>
      </c>
      <c r="U21" s="1575">
        <f>H21</f>
        <v>100</v>
      </c>
      <c r="V21" s="1574" t="s">
        <v>8</v>
      </c>
      <c r="W21" s="1575">
        <f>J21</f>
        <v>100</v>
      </c>
      <c r="X21" s="1568"/>
      <c r="Y21" s="3553"/>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040"/>
      <c r="M22" s="2030"/>
      <c r="N22" s="2030"/>
      <c r="O22" s="2039"/>
      <c r="P22" s="3553"/>
      <c r="Q22" s="1573"/>
      <c r="R22" s="1574"/>
      <c r="S22" s="1575"/>
      <c r="T22" s="1574"/>
      <c r="U22" s="1575"/>
      <c r="V22" s="1574"/>
      <c r="W22" s="1575"/>
      <c r="X22" s="1568"/>
      <c r="Y22" s="3553"/>
      <c r="Z22" s="1576"/>
      <c r="AA22" s="1577">
        <v>1</v>
      </c>
      <c r="AB22" s="1577">
        <v>1</v>
      </c>
      <c r="AC22" s="1577">
        <v>1</v>
      </c>
    </row>
    <row r="23" spans="1:29" ht="20.25">
      <c r="A23" s="532"/>
      <c r="B23" s="560" t="s">
        <v>541</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040"/>
      <c r="M23" s="2030"/>
      <c r="N23" s="2030"/>
      <c r="O23" s="2039"/>
      <c r="P23" s="3553"/>
      <c r="Q23" s="1573" t="str">
        <f>B23</f>
        <v>交通便捷度</v>
      </c>
      <c r="R23" s="1574" t="s">
        <v>8</v>
      </c>
      <c r="S23" s="1575">
        <f>F23</f>
        <v>100</v>
      </c>
      <c r="T23" s="1574" t="s">
        <v>8</v>
      </c>
      <c r="U23" s="1575">
        <f>H23</f>
        <v>100</v>
      </c>
      <c r="V23" s="1574" t="s">
        <v>8</v>
      </c>
      <c r="W23" s="1575">
        <f>J23</f>
        <v>100</v>
      </c>
      <c r="X23" s="1568"/>
      <c r="Y23" s="3553"/>
      <c r="Z23" s="1576" t="str">
        <f>Q23</f>
        <v>交通便捷度</v>
      </c>
      <c r="AA23" s="1577">
        <f t="shared" si="3"/>
        <v>1</v>
      </c>
      <c r="AB23" s="1577">
        <f t="shared" si="4"/>
        <v>1</v>
      </c>
      <c r="AC23" s="1577">
        <f t="shared" si="5"/>
        <v>1</v>
      </c>
    </row>
    <row r="24" spans="1:29" ht="20.25">
      <c r="A24" s="532"/>
      <c r="B24" s="578"/>
      <c r="C24" s="554" t="s">
        <v>3162</v>
      </c>
      <c r="D24" s="557"/>
      <c r="E24" s="558" t="s">
        <v>3162</v>
      </c>
      <c r="F24" s="555"/>
      <c r="G24" s="556" t="s">
        <v>3162</v>
      </c>
      <c r="H24" s="555"/>
      <c r="I24" s="558" t="s">
        <v>3162</v>
      </c>
      <c r="J24" s="555"/>
      <c r="K24" s="531"/>
      <c r="L24" s="2040"/>
      <c r="M24" s="2030"/>
      <c r="N24" s="2030"/>
      <c r="O24" s="2039"/>
      <c r="P24" s="3553"/>
      <c r="Q24" s="1573"/>
      <c r="R24" s="1574"/>
      <c r="S24" s="1575"/>
      <c r="T24" s="1574"/>
      <c r="U24" s="1575"/>
      <c r="V24" s="1574"/>
      <c r="W24" s="1575"/>
      <c r="X24" s="1568"/>
      <c r="Y24" s="3553"/>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040"/>
      <c r="M25" s="2030"/>
      <c r="N25" s="2030"/>
      <c r="O25" s="2039"/>
      <c r="P25" s="3553"/>
      <c r="Q25" s="1573" t="str">
        <f t="shared" ref="Q25:Q39" si="8">B25</f>
        <v>区域土地利用方向</v>
      </c>
      <c r="R25" s="1574" t="s">
        <v>8</v>
      </c>
      <c r="S25" s="1575">
        <f>F25</f>
        <v>100</v>
      </c>
      <c r="T25" s="1574" t="s">
        <v>8</v>
      </c>
      <c r="U25" s="1575">
        <f>H25</f>
        <v>100</v>
      </c>
      <c r="V25" s="1574" t="s">
        <v>8</v>
      </c>
      <c r="W25" s="1575">
        <f>J25</f>
        <v>100</v>
      </c>
      <c r="X25" s="1568"/>
      <c r="Y25" s="3553"/>
      <c r="Z25" s="1576" t="str">
        <f>Q25</f>
        <v>区域土地利用方向</v>
      </c>
      <c r="AA25" s="1577">
        <f t="shared" si="3"/>
        <v>1</v>
      </c>
      <c r="AB25" s="1577">
        <f t="shared" si="4"/>
        <v>1</v>
      </c>
      <c r="AC25" s="1577">
        <f t="shared" si="5"/>
        <v>1</v>
      </c>
    </row>
    <row r="26" spans="1:29" ht="20.25">
      <c r="A26" s="515"/>
      <c r="B26" s="1007"/>
      <c r="C26" s="554" t="s">
        <v>3164</v>
      </c>
      <c r="D26" s="557"/>
      <c r="E26" s="558" t="s">
        <v>3164</v>
      </c>
      <c r="F26" s="555"/>
      <c r="G26" s="556" t="s">
        <v>3164</v>
      </c>
      <c r="H26" s="555"/>
      <c r="I26" s="558" t="s">
        <v>3164</v>
      </c>
      <c r="J26" s="555"/>
      <c r="K26" s="531"/>
      <c r="L26" s="2040"/>
      <c r="M26" s="2030"/>
      <c r="N26" s="2030"/>
      <c r="O26" s="2039"/>
      <c r="P26" s="3553"/>
      <c r="Q26" s="1573"/>
      <c r="R26" s="1574"/>
      <c r="S26" s="1575"/>
      <c r="T26" s="1574"/>
      <c r="U26" s="1575"/>
      <c r="V26" s="1574"/>
      <c r="W26" s="1575"/>
      <c r="X26" s="1568"/>
      <c r="Y26" s="3553"/>
      <c r="Z26" s="1576"/>
      <c r="AA26" s="1577"/>
      <c r="AB26" s="1577"/>
      <c r="AC26" s="1577"/>
    </row>
    <row r="27" spans="1:29" ht="27">
      <c r="A27" s="515"/>
      <c r="B27" s="578" t="s">
        <v>543</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040"/>
      <c r="M27" s="2030"/>
      <c r="N27" s="2030"/>
      <c r="O27" s="2039"/>
      <c r="P27" s="3553"/>
      <c r="Q27" s="1573" t="str">
        <f t="shared" si="8"/>
        <v>自然及人文环境状况</v>
      </c>
      <c r="R27" s="1574" t="s">
        <v>8</v>
      </c>
      <c r="S27" s="1575">
        <f>F27</f>
        <v>100</v>
      </c>
      <c r="T27" s="1574" t="s">
        <v>8</v>
      </c>
      <c r="U27" s="1575">
        <f>H27</f>
        <v>100</v>
      </c>
      <c r="V27" s="1574" t="s">
        <v>8</v>
      </c>
      <c r="W27" s="1575">
        <f>J27</f>
        <v>100</v>
      </c>
      <c r="X27" s="1568"/>
      <c r="Y27" s="3553"/>
      <c r="Z27" s="1576" t="str">
        <f>Q27</f>
        <v>自然及人文环境状况</v>
      </c>
      <c r="AA27" s="1577">
        <f t="shared" si="3"/>
        <v>1</v>
      </c>
      <c r="AB27" s="1577">
        <f t="shared" si="4"/>
        <v>1</v>
      </c>
      <c r="AC27" s="1577">
        <f t="shared" si="5"/>
        <v>1</v>
      </c>
    </row>
    <row r="28" spans="1:29" ht="20.25">
      <c r="A28" s="515"/>
      <c r="B28" s="566"/>
      <c r="C28" s="554" t="s">
        <v>3164</v>
      </c>
      <c r="D28" s="557"/>
      <c r="E28" s="576" t="s">
        <v>3161</v>
      </c>
      <c r="F28" s="555"/>
      <c r="G28" s="554" t="s">
        <v>3161</v>
      </c>
      <c r="H28" s="555"/>
      <c r="I28" s="576" t="s">
        <v>3161</v>
      </c>
      <c r="J28" s="555"/>
      <c r="K28" s="531"/>
      <c r="L28" s="2040"/>
      <c r="M28" s="2030"/>
      <c r="N28" s="2030"/>
      <c r="O28" s="2039"/>
      <c r="P28" s="3553"/>
      <c r="Q28" s="1573"/>
      <c r="R28" s="1574"/>
      <c r="S28" s="1575"/>
      <c r="T28" s="1574"/>
      <c r="U28" s="1575"/>
      <c r="V28" s="1574"/>
      <c r="W28" s="1575"/>
      <c r="X28" s="1568"/>
      <c r="Y28" s="3553"/>
      <c r="Z28" s="1576"/>
      <c r="AA28" s="1577">
        <v>1</v>
      </c>
      <c r="AB28" s="1577">
        <v>1</v>
      </c>
      <c r="AC28" s="1577">
        <v>1</v>
      </c>
    </row>
    <row r="29" spans="1:29" s="1220" customFormat="1" ht="20.25">
      <c r="A29" s="577"/>
      <c r="B29" s="2510" t="s">
        <v>2545</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033"/>
      <c r="M29" s="2030"/>
      <c r="N29" s="2030"/>
      <c r="O29" s="2035"/>
      <c r="P29" s="3553"/>
      <c r="Q29" s="1151" t="str">
        <f t="shared" si="8"/>
        <v>公共配套设施</v>
      </c>
      <c r="R29" s="1569" t="s">
        <v>8</v>
      </c>
      <c r="S29" s="1570">
        <f>F29</f>
        <v>100</v>
      </c>
      <c r="T29" s="1569" t="s">
        <v>8</v>
      </c>
      <c r="U29" s="1570">
        <f>H29</f>
        <v>100</v>
      </c>
      <c r="V29" s="1569" t="s">
        <v>8</v>
      </c>
      <c r="W29" s="1570">
        <f>J29</f>
        <v>100</v>
      </c>
      <c r="X29" s="1571"/>
      <c r="Y29" s="3553"/>
      <c r="Z29" s="1150" t="str">
        <f>Q29</f>
        <v>公共配套设施</v>
      </c>
      <c r="AA29" s="1577">
        <f>D29/F29</f>
        <v>1</v>
      </c>
      <c r="AB29" s="1577">
        <f>D29/H29</f>
        <v>1</v>
      </c>
      <c r="AC29" s="1577">
        <f>D29/J29</f>
        <v>1</v>
      </c>
    </row>
    <row r="30" spans="1:29" s="1220" customFormat="1" ht="20.25">
      <c r="A30" s="577"/>
      <c r="B30" s="566"/>
      <c r="C30" s="579" t="s">
        <v>3162</v>
      </c>
      <c r="D30" s="557"/>
      <c r="E30" s="576" t="s">
        <v>3162</v>
      </c>
      <c r="F30" s="555"/>
      <c r="G30" s="554" t="s">
        <v>3162</v>
      </c>
      <c r="H30" s="555"/>
      <c r="I30" s="576" t="s">
        <v>3162</v>
      </c>
      <c r="J30" s="555"/>
      <c r="K30" s="531"/>
      <c r="L30" s="2033"/>
      <c r="M30" s="2030"/>
      <c r="N30" s="2030"/>
      <c r="O30" s="2035"/>
      <c r="P30" s="3553"/>
      <c r="Q30" s="1151"/>
      <c r="R30" s="1569"/>
      <c r="S30" s="1570"/>
      <c r="T30" s="1569"/>
      <c r="U30" s="1570"/>
      <c r="V30" s="1569"/>
      <c r="W30" s="1570"/>
      <c r="X30" s="1571"/>
      <c r="Y30" s="3553"/>
      <c r="Z30" s="1150"/>
      <c r="AA30" s="1577">
        <v>1</v>
      </c>
      <c r="AB30" s="1577">
        <v>1</v>
      </c>
      <c r="AC30" s="1577">
        <v>1</v>
      </c>
    </row>
    <row r="31" spans="1:29" s="1220" customFormat="1" ht="20.25">
      <c r="A31" s="577"/>
      <c r="B31" s="2510" t="s">
        <v>2546</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033"/>
      <c r="M31" s="2030"/>
      <c r="N31" s="2030"/>
      <c r="O31" s="2035"/>
      <c r="P31" s="3553"/>
      <c r="Q31" s="2497" t="str">
        <f t="shared" ref="Q31" si="9">B31</f>
        <v>基础设施水平</v>
      </c>
      <c r="R31" s="1569" t="s">
        <v>8</v>
      </c>
      <c r="S31" s="1570">
        <f>F31</f>
        <v>100</v>
      </c>
      <c r="T31" s="1569" t="s">
        <v>8</v>
      </c>
      <c r="U31" s="1570">
        <f>H31</f>
        <v>100</v>
      </c>
      <c r="V31" s="1569" t="s">
        <v>8</v>
      </c>
      <c r="W31" s="1570">
        <f>J31</f>
        <v>100</v>
      </c>
      <c r="X31" s="1571"/>
      <c r="Y31" s="3553"/>
      <c r="Z31" s="2494" t="str">
        <f>Q31</f>
        <v>基础设施水平</v>
      </c>
      <c r="AA31" s="1577">
        <f>D31/F31</f>
        <v>1</v>
      </c>
      <c r="AB31" s="1577">
        <f>D31/H31</f>
        <v>1</v>
      </c>
      <c r="AC31" s="1577">
        <f>D31/J31</f>
        <v>1</v>
      </c>
    </row>
    <row r="32" spans="1:29" s="1220" customFormat="1" ht="20.25">
      <c r="A32" s="577"/>
      <c r="B32" s="566"/>
      <c r="C32" s="579" t="s">
        <v>3147</v>
      </c>
      <c r="D32" s="557"/>
      <c r="E32" s="579" t="s">
        <v>3147</v>
      </c>
      <c r="F32" s="555"/>
      <c r="G32" s="579" t="s">
        <v>3147</v>
      </c>
      <c r="H32" s="555"/>
      <c r="I32" s="579" t="s">
        <v>3147</v>
      </c>
      <c r="J32" s="555"/>
      <c r="K32" s="531"/>
      <c r="L32" s="2033"/>
      <c r="M32" s="2030"/>
      <c r="N32" s="2030"/>
      <c r="O32" s="2035"/>
      <c r="P32" s="3553"/>
      <c r="Q32" s="2497"/>
      <c r="R32" s="1569"/>
      <c r="S32" s="1570"/>
      <c r="T32" s="1569"/>
      <c r="U32" s="1570"/>
      <c r="V32" s="1569"/>
      <c r="W32" s="1570"/>
      <c r="X32" s="1571"/>
      <c r="Y32" s="3553"/>
      <c r="Z32" s="2494"/>
      <c r="AA32" s="1577">
        <v>1</v>
      </c>
      <c r="AB32" s="1577">
        <v>1</v>
      </c>
      <c r="AC32" s="1577">
        <v>1</v>
      </c>
    </row>
    <row r="33" spans="1:29" ht="20.25" hidden="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040"/>
      <c r="M33" s="2030"/>
      <c r="N33" s="2030"/>
      <c r="O33" s="2039"/>
      <c r="P33" s="355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53"/>
      <c r="Z33" s="1576" t="str">
        <f t="shared" ref="Z33:Z47" si="13">Q33</f>
        <v>临街状况</v>
      </c>
      <c r="AA33" s="1577">
        <f t="shared" si="3"/>
        <v>1</v>
      </c>
      <c r="AB33" s="1577">
        <f t="shared" si="4"/>
        <v>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040"/>
      <c r="M34" s="2030"/>
      <c r="N34" s="2030"/>
      <c r="O34" s="2039"/>
      <c r="P34" s="3553"/>
      <c r="Q34" s="1573" t="str">
        <f t="shared" si="8"/>
        <v>毗邻道路的类型与等级</v>
      </c>
      <c r="R34" s="1574" t="s">
        <v>8</v>
      </c>
      <c r="S34" s="1575">
        <f t="shared" si="10"/>
        <v>102</v>
      </c>
      <c r="T34" s="1574" t="s">
        <v>8</v>
      </c>
      <c r="U34" s="1575">
        <f t="shared" si="11"/>
        <v>102</v>
      </c>
      <c r="V34" s="1574" t="s">
        <v>8</v>
      </c>
      <c r="W34" s="1575">
        <f t="shared" si="12"/>
        <v>102</v>
      </c>
      <c r="X34" s="1568"/>
      <c r="Y34" s="3553"/>
      <c r="Z34" s="1576" t="str">
        <f t="shared" si="13"/>
        <v>毗邻道路的类型与等级</v>
      </c>
      <c r="AA34" s="1577">
        <f t="shared" si="3"/>
        <v>0.98039215686274506</v>
      </c>
      <c r="AB34" s="1577">
        <f t="shared" si="4"/>
        <v>0.98039215686274506</v>
      </c>
      <c r="AC34" s="1577">
        <f t="shared" si="5"/>
        <v>0.98039215686274506</v>
      </c>
    </row>
    <row r="35" spans="1:29" ht="28.5">
      <c r="A35" s="532"/>
      <c r="B35" s="566"/>
      <c r="C35" s="554" t="s">
        <v>3180</v>
      </c>
      <c r="D35" s="557"/>
      <c r="E35" s="576" t="s">
        <v>3130</v>
      </c>
      <c r="F35" s="555"/>
      <c r="G35" s="554" t="s">
        <v>3130</v>
      </c>
      <c r="H35" s="555"/>
      <c r="I35" s="576" t="s">
        <v>3130</v>
      </c>
      <c r="J35" s="555"/>
      <c r="K35" s="581"/>
      <c r="L35" s="2040"/>
      <c r="M35" s="2030"/>
      <c r="N35" s="2030"/>
      <c r="O35" s="2039"/>
      <c r="P35" s="3553"/>
      <c r="Q35" s="1573"/>
      <c r="R35" s="1574"/>
      <c r="S35" s="1575"/>
      <c r="T35" s="1574"/>
      <c r="U35" s="1575"/>
      <c r="V35" s="1574"/>
      <c r="W35" s="1575"/>
      <c r="X35" s="1568"/>
      <c r="Y35" s="3553"/>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040"/>
      <c r="M36" s="2030"/>
      <c r="N36" s="2030"/>
      <c r="O36" s="2039"/>
      <c r="P36" s="3553"/>
      <c r="Q36" s="1573" t="str">
        <f t="shared" si="8"/>
        <v>土地级别</v>
      </c>
      <c r="R36" s="1574" t="s">
        <v>8</v>
      </c>
      <c r="S36" s="1575">
        <f t="shared" si="10"/>
        <v>100</v>
      </c>
      <c r="T36" s="1574" t="s">
        <v>8</v>
      </c>
      <c r="U36" s="1575">
        <f t="shared" si="11"/>
        <v>100</v>
      </c>
      <c r="V36" s="1574" t="s">
        <v>8</v>
      </c>
      <c r="W36" s="1575">
        <f t="shared" si="12"/>
        <v>100</v>
      </c>
      <c r="X36" s="1568"/>
      <c r="Y36" s="3553"/>
      <c r="Z36" s="1576" t="str">
        <f t="shared" si="13"/>
        <v>土地级别</v>
      </c>
      <c r="AA36" s="1577">
        <f t="shared" si="3"/>
        <v>1</v>
      </c>
      <c r="AB36" s="1577">
        <f t="shared" si="4"/>
        <v>1</v>
      </c>
      <c r="AC36" s="1577">
        <f t="shared" si="5"/>
        <v>1</v>
      </c>
    </row>
    <row r="37" spans="1:29" ht="21" thickBot="1">
      <c r="A37" s="515"/>
      <c r="B37" s="3318" t="s">
        <v>3196</v>
      </c>
      <c r="C37" s="3319" t="s">
        <v>3197</v>
      </c>
      <c r="D37" s="575">
        <v>100</v>
      </c>
      <c r="E37" s="3320" t="s">
        <v>3197</v>
      </c>
      <c r="F37" s="540">
        <f>SUMIF(112:112,E37,113:113)-SUMIF(112:112,C37,113:113)+100</f>
        <v>100</v>
      </c>
      <c r="G37" s="3319" t="s">
        <v>3197</v>
      </c>
      <c r="H37" s="540">
        <f>SUMIF(112:112,G37,113:113)-SUMIF(112:112,C37,113:113)+100</f>
        <v>100</v>
      </c>
      <c r="I37" s="3320" t="s">
        <v>3197</v>
      </c>
      <c r="J37" s="540">
        <f>SUMIF(112:112,I37,113:113)-SUMIF(112:112,C37,113:113)+100</f>
        <v>100</v>
      </c>
      <c r="K37" s="581"/>
      <c r="L37" s="2040"/>
      <c r="M37" s="2030"/>
      <c r="N37" s="2030"/>
      <c r="O37" s="2039"/>
      <c r="P37" s="3553"/>
      <c r="Q37" s="1573" t="str">
        <f t="shared" si="8"/>
        <v>近海距离</v>
      </c>
      <c r="R37" s="1574" t="s">
        <v>8</v>
      </c>
      <c r="S37" s="1575">
        <f t="shared" si="10"/>
        <v>100</v>
      </c>
      <c r="T37" s="1574" t="s">
        <v>8</v>
      </c>
      <c r="U37" s="1575">
        <f t="shared" si="11"/>
        <v>100</v>
      </c>
      <c r="V37" s="1574" t="s">
        <v>8</v>
      </c>
      <c r="W37" s="1575">
        <f t="shared" si="12"/>
        <v>100</v>
      </c>
      <c r="X37" s="1568"/>
      <c r="Y37" s="3553"/>
      <c r="Z37" s="1576" t="str">
        <f t="shared" si="13"/>
        <v>近海距离</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040"/>
      <c r="M38" s="2030"/>
      <c r="N38" s="2030"/>
      <c r="O38" s="2039"/>
      <c r="P38" s="3554" t="s">
        <v>548</v>
      </c>
      <c r="Q38" s="1573">
        <f t="shared" si="8"/>
        <v>0</v>
      </c>
      <c r="R38" s="1574" t="s">
        <v>8</v>
      </c>
      <c r="S38" s="1575">
        <f t="shared" si="10"/>
        <v>100</v>
      </c>
      <c r="T38" s="1574" t="s">
        <v>8</v>
      </c>
      <c r="U38" s="1575">
        <f t="shared" si="11"/>
        <v>100</v>
      </c>
      <c r="V38" s="1574" t="s">
        <v>8</v>
      </c>
      <c r="W38" s="1575">
        <f t="shared" si="12"/>
        <v>100</v>
      </c>
      <c r="X38" s="1568"/>
      <c r="Y38" s="3555" t="s">
        <v>548</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038"/>
      <c r="M39" s="2030"/>
      <c r="N39" s="2030"/>
      <c r="O39" s="2041"/>
      <c r="P39" s="3555"/>
      <c r="Q39" s="1573">
        <f t="shared" si="8"/>
        <v>0</v>
      </c>
      <c r="R39" s="1578" t="s">
        <v>8</v>
      </c>
      <c r="S39" s="1579">
        <f t="shared" si="10"/>
        <v>100</v>
      </c>
      <c r="T39" s="1578" t="s">
        <v>8</v>
      </c>
      <c r="U39" s="1579">
        <f t="shared" si="11"/>
        <v>100</v>
      </c>
      <c r="V39" s="1578" t="s">
        <v>8</v>
      </c>
      <c r="W39" s="1579">
        <f t="shared" si="12"/>
        <v>100</v>
      </c>
      <c r="X39" s="1580"/>
      <c r="Y39" s="3555"/>
      <c r="Z39" s="1581">
        <f t="shared" si="13"/>
        <v>0</v>
      </c>
      <c r="AA39" s="1577">
        <f t="shared" si="3"/>
        <v>1</v>
      </c>
      <c r="AB39" s="1577">
        <f t="shared" si="4"/>
        <v>1</v>
      </c>
      <c r="AC39" s="1577">
        <f t="shared" si="5"/>
        <v>1</v>
      </c>
    </row>
    <row r="40" spans="1:29" ht="20.25">
      <c r="A40" s="2822" t="s">
        <v>2754</v>
      </c>
      <c r="B40" s="595" t="s">
        <v>550</v>
      </c>
      <c r="C40" s="596">
        <f>'数据-基础表'!A3</f>
        <v>110209</v>
      </c>
      <c r="D40" s="597">
        <v>100</v>
      </c>
      <c r="E40" s="596">
        <v>38791.97</v>
      </c>
      <c r="F40" s="597">
        <f>LOOKUP(E40,119:119,120:120)-LOOKUP(C40,119:119,120:120)+100</f>
        <v>94</v>
      </c>
      <c r="G40" s="596">
        <v>69992.87</v>
      </c>
      <c r="H40" s="597">
        <f>LOOKUP(G40,119:119,120:120)-LOOKUP(C40,119:119,120:120)+100</f>
        <v>97</v>
      </c>
      <c r="I40" s="598">
        <v>31085.31</v>
      </c>
      <c r="J40" s="597">
        <f>LOOKUP(I40,119:119,120:120)-LOOKUP(C40,119:119,120:120)+100</f>
        <v>94</v>
      </c>
      <c r="K40" s="581"/>
      <c r="L40" s="2040"/>
      <c r="M40" s="2030"/>
      <c r="N40" s="2030"/>
      <c r="O40" s="2039"/>
      <c r="P40" s="3555"/>
      <c r="Q40" s="1573" t="str">
        <f>B40</f>
        <v>宗地面积</v>
      </c>
      <c r="R40" s="1574" t="s">
        <v>8</v>
      </c>
      <c r="S40" s="1575">
        <f t="shared" si="10"/>
        <v>94</v>
      </c>
      <c r="T40" s="1574" t="s">
        <v>8</v>
      </c>
      <c r="U40" s="1575">
        <f t="shared" si="11"/>
        <v>97</v>
      </c>
      <c r="V40" s="1574" t="s">
        <v>8</v>
      </c>
      <c r="W40" s="1575">
        <f t="shared" si="12"/>
        <v>94</v>
      </c>
      <c r="X40" s="1568"/>
      <c r="Y40" s="3555"/>
      <c r="Z40" s="1576" t="str">
        <f t="shared" si="13"/>
        <v>宗地面积</v>
      </c>
      <c r="AA40" s="1577">
        <f t="shared" si="3"/>
        <v>1.0638297872340425</v>
      </c>
      <c r="AB40" s="1577">
        <f t="shared" si="4"/>
        <v>1.0309278350515463</v>
      </c>
      <c r="AC40" s="1577">
        <f t="shared" si="5"/>
        <v>1.0638297872340425</v>
      </c>
    </row>
    <row r="41" spans="1:29" ht="20.25">
      <c r="A41" s="594"/>
      <c r="B41" s="527" t="s">
        <v>551</v>
      </c>
      <c r="C41" s="599" t="s">
        <v>3184</v>
      </c>
      <c r="D41" s="540">
        <v>100</v>
      </c>
      <c r="E41" s="599" t="s">
        <v>3184</v>
      </c>
      <c r="F41" s="540">
        <f>SUMIF(121:121,E41,122:122)-SUMIF(121:121,C41,122:122)+100</f>
        <v>100</v>
      </c>
      <c r="G41" s="599" t="s">
        <v>3184</v>
      </c>
      <c r="H41" s="540">
        <f>SUMIF(121:121,G41,122:122)-SUMIF(121:121,C41,122:122)+100</f>
        <v>100</v>
      </c>
      <c r="I41" s="599" t="s">
        <v>3184</v>
      </c>
      <c r="J41" s="540">
        <f>SUMIF(121:121,I41,122:122)-SUMIF(121:121,C41,122:122)+100</f>
        <v>100</v>
      </c>
      <c r="K41" s="584"/>
      <c r="L41" s="2040"/>
      <c r="M41" s="2030"/>
      <c r="N41" s="2030"/>
      <c r="O41" s="2039"/>
      <c r="P41" s="3555"/>
      <c r="Q41" s="1573" t="str">
        <f t="shared" ref="Q41:Q47" si="14">B41</f>
        <v>宗地形状</v>
      </c>
      <c r="R41" s="1574" t="s">
        <v>8</v>
      </c>
      <c r="S41" s="1575">
        <f t="shared" si="10"/>
        <v>100</v>
      </c>
      <c r="T41" s="1574" t="s">
        <v>8</v>
      </c>
      <c r="U41" s="1575">
        <f t="shared" si="11"/>
        <v>100</v>
      </c>
      <c r="V41" s="1574" t="s">
        <v>8</v>
      </c>
      <c r="W41" s="1575">
        <f t="shared" si="12"/>
        <v>100</v>
      </c>
      <c r="X41" s="1568"/>
      <c r="Y41" s="3555"/>
      <c r="Z41" s="1576" t="str">
        <f t="shared" si="13"/>
        <v>宗地形状</v>
      </c>
      <c r="AA41" s="1577">
        <f t="shared" si="3"/>
        <v>1</v>
      </c>
      <c r="AB41" s="1577">
        <f t="shared" si="4"/>
        <v>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040"/>
      <c r="M42" s="2030"/>
      <c r="N42" s="2030"/>
      <c r="O42" s="2039"/>
      <c r="P42" s="3555"/>
      <c r="Q42" s="1573" t="str">
        <f t="shared" si="14"/>
        <v>临街宽度及深度</v>
      </c>
      <c r="R42" s="1574" t="s">
        <v>8</v>
      </c>
      <c r="S42" s="1575">
        <f t="shared" si="10"/>
        <v>100</v>
      </c>
      <c r="T42" s="1574" t="s">
        <v>8</v>
      </c>
      <c r="U42" s="1575">
        <f t="shared" si="11"/>
        <v>100</v>
      </c>
      <c r="V42" s="1574" t="s">
        <v>8</v>
      </c>
      <c r="W42" s="1575">
        <f t="shared" si="12"/>
        <v>100</v>
      </c>
      <c r="X42" s="1568"/>
      <c r="Y42" s="3555"/>
      <c r="Z42" s="1576" t="str">
        <f t="shared" si="13"/>
        <v>临街宽度及深度</v>
      </c>
      <c r="AA42" s="1577">
        <f t="shared" si="3"/>
        <v>1</v>
      </c>
      <c r="AB42" s="1577">
        <f t="shared" si="4"/>
        <v>1</v>
      </c>
      <c r="AC42" s="1577">
        <f t="shared" si="5"/>
        <v>1</v>
      </c>
    </row>
    <row r="43" spans="1:29" s="1220" customFormat="1" ht="20.25">
      <c r="A43" s="600"/>
      <c r="B43" s="1793" t="s">
        <v>2420</v>
      </c>
      <c r="C43" s="601" t="s">
        <v>3194</v>
      </c>
      <c r="D43" s="255">
        <v>100</v>
      </c>
      <c r="E43" s="601" t="s">
        <v>3194</v>
      </c>
      <c r="F43" s="540">
        <f>SUMIF(125:125,E43,126:126)-SUMIF(125:125,C43,126:126)+100</f>
        <v>100</v>
      </c>
      <c r="G43" s="601" t="s">
        <v>3194</v>
      </c>
      <c r="H43" s="540">
        <f>SUMIF(125:125,G43,126:126)-SUMIF(125:125,C43,126:126)+100</f>
        <v>100</v>
      </c>
      <c r="I43" s="601" t="s">
        <v>3194</v>
      </c>
      <c r="J43" s="540">
        <f>SUMIF(125:125,I43,126:126)-SUMIF(125:125,C43,126:126)+100</f>
        <v>100</v>
      </c>
      <c r="K43" s="584"/>
      <c r="L43" s="2033"/>
      <c r="M43" s="2030"/>
      <c r="N43" s="2030"/>
      <c r="O43" s="2035"/>
      <c r="P43" s="3555"/>
      <c r="Q43" s="1573" t="str">
        <f t="shared" si="14"/>
        <v>宗地开发程度</v>
      </c>
      <c r="R43" s="1569" t="s">
        <v>8</v>
      </c>
      <c r="S43" s="1570">
        <f t="shared" si="10"/>
        <v>100</v>
      </c>
      <c r="T43" s="1569" t="s">
        <v>8</v>
      </c>
      <c r="U43" s="1570">
        <f t="shared" si="11"/>
        <v>100</v>
      </c>
      <c r="V43" s="1569" t="s">
        <v>8</v>
      </c>
      <c r="W43" s="1570">
        <f t="shared" si="12"/>
        <v>100</v>
      </c>
      <c r="X43" s="1571"/>
      <c r="Y43" s="3555"/>
      <c r="Z43" s="1150" t="str">
        <f t="shared" si="13"/>
        <v>宗地开发程度</v>
      </c>
      <c r="AA43" s="1572">
        <f t="shared" si="3"/>
        <v>1</v>
      </c>
      <c r="AB43" s="1572">
        <f t="shared" si="4"/>
        <v>1</v>
      </c>
      <c r="AC43" s="1572">
        <f t="shared" si="5"/>
        <v>1</v>
      </c>
    </row>
    <row r="44" spans="1:29" ht="21" thickBot="1">
      <c r="A44" s="594"/>
      <c r="B44" s="527" t="s">
        <v>553</v>
      </c>
      <c r="C44" s="599" t="s">
        <v>3187</v>
      </c>
      <c r="D44" s="540">
        <v>100</v>
      </c>
      <c r="E44" s="599" t="s">
        <v>3187</v>
      </c>
      <c r="F44" s="540">
        <f>SUMIF(127:127,E44,128:128)-SUMIF(127:127,C44,128:128)+100</f>
        <v>100</v>
      </c>
      <c r="G44" s="599" t="s">
        <v>3187</v>
      </c>
      <c r="H44" s="540">
        <f>SUMIF(127:127,G44,128:128)-SUMIF(127:127,C44,128:128)+100</f>
        <v>100</v>
      </c>
      <c r="I44" s="599" t="s">
        <v>3187</v>
      </c>
      <c r="J44" s="540">
        <f>SUMIF(127:127,I44,128:128)-SUMIF(127:127,C44,128:128)+100</f>
        <v>100</v>
      </c>
      <c r="K44" s="584"/>
      <c r="L44" s="2040"/>
      <c r="M44" s="2030"/>
      <c r="N44" s="2030"/>
      <c r="O44" s="2039"/>
      <c r="P44" s="3555" t="s">
        <v>548</v>
      </c>
      <c r="Q44" s="1573" t="str">
        <f t="shared" si="14"/>
        <v>工程地质条件</v>
      </c>
      <c r="R44" s="1574" t="s">
        <v>8</v>
      </c>
      <c r="S44" s="1575">
        <f t="shared" si="10"/>
        <v>100</v>
      </c>
      <c r="T44" s="1574" t="s">
        <v>8</v>
      </c>
      <c r="U44" s="1575">
        <f t="shared" si="11"/>
        <v>100</v>
      </c>
      <c r="V44" s="1574" t="s">
        <v>8</v>
      </c>
      <c r="W44" s="1575">
        <f t="shared" si="12"/>
        <v>100</v>
      </c>
      <c r="X44" s="1568"/>
      <c r="Y44" s="3555" t="s">
        <v>548</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040"/>
      <c r="M45" s="2030"/>
      <c r="N45" s="2030"/>
      <c r="O45" s="2039"/>
      <c r="P45" s="3555"/>
      <c r="Q45" s="1573">
        <f t="shared" si="14"/>
        <v>0</v>
      </c>
      <c r="R45" s="1574" t="s">
        <v>8</v>
      </c>
      <c r="S45" s="1575">
        <f t="shared" si="10"/>
        <v>100</v>
      </c>
      <c r="T45" s="1574" t="s">
        <v>8</v>
      </c>
      <c r="U45" s="1575">
        <f t="shared" si="11"/>
        <v>100</v>
      </c>
      <c r="V45" s="1574" t="s">
        <v>8</v>
      </c>
      <c r="W45" s="1575">
        <f t="shared" si="12"/>
        <v>100</v>
      </c>
      <c r="X45" s="1568"/>
      <c r="Y45" s="3555"/>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040"/>
      <c r="M46" s="2030"/>
      <c r="N46" s="2030"/>
      <c r="O46" s="2039"/>
      <c r="P46" s="3555"/>
      <c r="Q46" s="1573">
        <f t="shared" si="14"/>
        <v>0</v>
      </c>
      <c r="R46" s="1574" t="s">
        <v>8</v>
      </c>
      <c r="S46" s="1575">
        <f t="shared" si="10"/>
        <v>100</v>
      </c>
      <c r="T46" s="1574" t="s">
        <v>8</v>
      </c>
      <c r="U46" s="1575">
        <f t="shared" si="11"/>
        <v>100</v>
      </c>
      <c r="V46" s="1574" t="s">
        <v>8</v>
      </c>
      <c r="W46" s="1575">
        <f t="shared" si="12"/>
        <v>100</v>
      </c>
      <c r="X46" s="1568"/>
      <c r="Y46" s="3555"/>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038"/>
      <c r="M47" s="2030"/>
      <c r="N47" s="2030"/>
      <c r="O47" s="2041"/>
      <c r="P47" s="3555"/>
      <c r="Q47" s="1573">
        <f t="shared" si="14"/>
        <v>0</v>
      </c>
      <c r="R47" s="1578" t="s">
        <v>8</v>
      </c>
      <c r="S47" s="1579">
        <f t="shared" si="10"/>
        <v>100</v>
      </c>
      <c r="T47" s="1578" t="s">
        <v>8</v>
      </c>
      <c r="U47" s="1579">
        <f t="shared" si="11"/>
        <v>100</v>
      </c>
      <c r="V47" s="1578" t="s">
        <v>8</v>
      </c>
      <c r="W47" s="1579">
        <f t="shared" si="12"/>
        <v>100</v>
      </c>
      <c r="X47" s="1580"/>
      <c r="Y47" s="3555"/>
      <c r="Z47" s="1581">
        <f t="shared" si="13"/>
        <v>0</v>
      </c>
      <c r="AA47" s="1577">
        <f t="shared" si="3"/>
        <v>1</v>
      </c>
      <c r="AB47" s="1577">
        <f t="shared" si="4"/>
        <v>1</v>
      </c>
      <c r="AC47" s="1577">
        <f t="shared" si="5"/>
        <v>1</v>
      </c>
    </row>
    <row r="48" spans="1:29" ht="20.25">
      <c r="A48" s="607" t="s">
        <v>554</v>
      </c>
      <c r="B48" s="608" t="s">
        <v>3205</v>
      </c>
      <c r="C48" s="609" t="s">
        <v>1</v>
      </c>
      <c r="D48" s="610"/>
      <c r="E48" s="611">
        <v>4038.02</v>
      </c>
      <c r="F48" s="612"/>
      <c r="G48" s="613">
        <v>4410.5</v>
      </c>
      <c r="H48" s="614"/>
      <c r="I48" s="611">
        <v>3573.92</v>
      </c>
      <c r="J48" s="614"/>
      <c r="K48" s="1340"/>
      <c r="L48" s="2042"/>
      <c r="M48" s="2030"/>
      <c r="N48" s="2030"/>
      <c r="O48" s="2043"/>
      <c r="P48" s="3550" t="str">
        <f>A48</f>
        <v>成交单价</v>
      </c>
      <c r="Q48" s="3550"/>
      <c r="R48" s="3564">
        <f>E48</f>
        <v>4038.02</v>
      </c>
      <c r="S48" s="3564"/>
      <c r="T48" s="3564">
        <f>G48</f>
        <v>4410.5</v>
      </c>
      <c r="U48" s="3564"/>
      <c r="V48" s="3564">
        <f>I48</f>
        <v>3573.92</v>
      </c>
      <c r="W48" s="3564"/>
      <c r="X48" s="1560"/>
      <c r="Y48" s="1582"/>
      <c r="Z48" s="1560"/>
      <c r="AA48" s="1560"/>
      <c r="AB48" s="1560"/>
      <c r="AC48" s="1560"/>
    </row>
    <row r="49" spans="1:29" ht="21" thickBot="1">
      <c r="A49" s="615" t="s">
        <v>2692</v>
      </c>
      <c r="B49" s="616"/>
      <c r="C49" s="617">
        <f>R50</f>
        <v>4696</v>
      </c>
      <c r="D49" s="618"/>
      <c r="E49" s="617">
        <f>R49</f>
        <v>4824</v>
      </c>
      <c r="F49" s="619"/>
      <c r="G49" s="620">
        <f>T49</f>
        <v>5045</v>
      </c>
      <c r="H49" s="618"/>
      <c r="I49" s="617">
        <f>V49</f>
        <v>4219</v>
      </c>
      <c r="J49" s="618"/>
      <c r="K49" s="1341"/>
      <c r="L49" s="2042"/>
      <c r="M49" s="2030"/>
      <c r="N49" s="2030"/>
      <c r="O49" s="2043"/>
      <c r="P49" s="3550" t="str">
        <f>A49</f>
        <v>比较价格（元/平方米）</v>
      </c>
      <c r="Q49" s="3550"/>
      <c r="R49" s="3573">
        <f>ROUND(PRODUCT(R48,AA9:AA47),0)</f>
        <v>4824</v>
      </c>
      <c r="S49" s="3573"/>
      <c r="T49" s="3573">
        <f>ROUND(PRODUCT(T48,AB9:AB47),0)</f>
        <v>5045</v>
      </c>
      <c r="U49" s="3573"/>
      <c r="V49" s="3573">
        <f>ROUND(PRODUCT(V48,AC9:AC47),0)</f>
        <v>4219</v>
      </c>
      <c r="W49" s="3573"/>
      <c r="X49" s="1560"/>
      <c r="Y49" s="1560"/>
      <c r="Z49" s="1560"/>
      <c r="AA49" s="1560"/>
      <c r="AB49" s="1560"/>
      <c r="AC49" s="1560"/>
    </row>
    <row r="50" spans="1:29" ht="21" thickBot="1">
      <c r="A50" s="3316" t="s">
        <v>3206</v>
      </c>
      <c r="B50" s="622"/>
      <c r="C50" s="623">
        <f>R50</f>
        <v>4696</v>
      </c>
      <c r="D50" s="623"/>
      <c r="E50" s="623"/>
      <c r="F50" s="623"/>
      <c r="G50" s="623"/>
      <c r="H50" s="623"/>
      <c r="I50" s="623"/>
      <c r="J50" s="623"/>
      <c r="K50" s="1342"/>
      <c r="L50" s="2042"/>
      <c r="M50" s="2030"/>
      <c r="N50" s="2030"/>
      <c r="O50" s="2043"/>
      <c r="P50" s="3570" t="str">
        <f>A50</f>
        <v>楼面地价比较价格（元/平方米）</v>
      </c>
      <c r="Q50" s="3571"/>
      <c r="R50" s="3572">
        <f>ROUND(AVERAGE(R49:V49),0)</f>
        <v>4696</v>
      </c>
      <c r="S50" s="3572"/>
      <c r="T50" s="3572"/>
      <c r="U50" s="3572"/>
      <c r="V50" s="3572"/>
      <c r="W50" s="3572"/>
      <c r="X50" s="1560"/>
      <c r="Y50" s="1560"/>
      <c r="Z50" s="1560"/>
      <c r="AA50" s="1560"/>
      <c r="AB50" s="1560"/>
      <c r="AC50" s="1560"/>
    </row>
    <row r="51" spans="1:29" ht="20.25">
      <c r="A51" s="2043"/>
      <c r="B51" s="2043"/>
      <c r="C51" s="2043"/>
      <c r="D51" s="2043"/>
      <c r="E51" s="2043"/>
      <c r="F51" s="2043"/>
      <c r="G51" s="2046"/>
      <c r="H51" s="2043"/>
      <c r="I51" s="2043"/>
      <c r="J51" s="2043"/>
      <c r="K51" s="2047"/>
      <c r="L51" s="2048"/>
      <c r="M51" s="2030"/>
      <c r="N51" s="2030"/>
      <c r="O51" s="2043"/>
      <c r="P51" s="1560"/>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560"/>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f>IF(E48&lt;E49,E49/E48-1,E48/E49-1)</f>
        <v>0.19464490022337677</v>
      </c>
      <c r="F53" s="627" t="str">
        <f>IF(OR(E53&gt;=0.3,E53&lt;=-0.3),"超过30%","")</f>
        <v/>
      </c>
      <c r="G53" s="626">
        <f>IF(G48&lt;G49,G49/G48-1,G48/G49-1)</f>
        <v>0.14386124022219704</v>
      </c>
      <c r="H53" s="627" t="str">
        <f>IF(OR(G53&gt;=0.3,G53&lt;=-0.3),"超过30%","")</f>
        <v/>
      </c>
      <c r="I53" s="626">
        <f>IF(I48&lt;I49,I49/I48-1,I48/I49-1)</f>
        <v>0.18049648565160936</v>
      </c>
      <c r="J53" s="627" t="str">
        <f>IF(OR(I53&gt;=0.3,I53&lt;=-0.3),"超过30%","")</f>
        <v/>
      </c>
      <c r="K53" s="2047"/>
      <c r="L53" s="2048"/>
      <c r="M53" s="2030"/>
      <c r="N53" s="2030"/>
      <c r="O53" s="2043"/>
      <c r="P53" s="1560"/>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f>IF(E49&lt;G49,G49/E49-1,E49/G49-1)</f>
        <v>4.5812603648424544E-2</v>
      </c>
      <c r="F54" s="627" t="str">
        <f>IF(OR(E54&gt;=0.2,E54&lt;=-0.2),"超过20%","")</f>
        <v/>
      </c>
      <c r="G54" s="626">
        <f>IF(G49&lt;I49,I49/G49-1,G49/I49-1)</f>
        <v>0.19578099075610345</v>
      </c>
      <c r="H54" s="627" t="str">
        <f>IF(OR(G54&gt;=0.2,G54&lt;=-0.2),"超过20%","")</f>
        <v/>
      </c>
      <c r="I54" s="626">
        <f>IF(I49&lt;E49,E49/I49-1,I49/E49-1)</f>
        <v>0.1433989096942403</v>
      </c>
      <c r="J54" s="627" t="str">
        <f>IF(OR(I54&gt;=0.2,I54&lt;=-0.2),"超过20%","")</f>
        <v/>
      </c>
      <c r="K54" s="2047"/>
      <c r="L54" s="2048"/>
      <c r="M54" s="2030"/>
      <c r="N54" s="2030"/>
      <c r="O54" s="2043"/>
      <c r="P54" s="1560"/>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f>IF(E48&lt;G48,G48/E48-1,E48/G48-1)</f>
        <v>9.2243228116750231E-2</v>
      </c>
      <c r="F55" s="627" t="str">
        <f>IF(OR(E55&gt;=0.3,E55&lt;=-0.3),"超过30%","")</f>
        <v/>
      </c>
      <c r="G55" s="626">
        <f>IF(G48&lt;I48,I48/G48-1,G48/I48-1)</f>
        <v>0.23407910641536467</v>
      </c>
      <c r="H55" s="627" t="str">
        <f>IF(OR(G55&gt;=0.3,G55&lt;=-0.3),"超过30%","")</f>
        <v/>
      </c>
      <c r="I55" s="626">
        <f>IF(I48&lt;E48,E48/I48-1,I48/E48-1)</f>
        <v>0.1298574114697586</v>
      </c>
      <c r="J55" s="627" t="str">
        <f>IF(OR(I55&gt;=0.3,I55&lt;=-0.3),"超过30%","")</f>
        <v/>
      </c>
      <c r="K55" s="2050"/>
      <c r="L55" s="2051"/>
      <c r="M55" s="2030"/>
      <c r="N55" s="2030"/>
      <c r="O55" s="2044"/>
      <c r="P55" s="1558"/>
      <c r="Q55" s="2044"/>
      <c r="R55" s="2044"/>
      <c r="S55" s="2044"/>
      <c r="T55" s="2044"/>
      <c r="U55" s="2044"/>
      <c r="V55" s="2044"/>
      <c r="W55" s="2044"/>
      <c r="X55" s="2044"/>
      <c r="Y55" s="2044"/>
      <c r="Z55" s="2044"/>
      <c r="AA55" s="2044"/>
      <c r="AB55" s="2044"/>
      <c r="AC55" s="2044"/>
    </row>
    <row r="56" spans="1:29" s="1345" customFormat="1" ht="21" thickBot="1">
      <c r="A56" s="2044"/>
      <c r="B56" s="2045"/>
      <c r="C56" s="2049"/>
      <c r="D56" s="2044"/>
      <c r="E56" s="2044"/>
      <c r="F56" s="2044"/>
      <c r="G56" s="2044"/>
      <c r="H56" s="2044"/>
      <c r="I56" s="2044"/>
      <c r="J56" s="2044"/>
      <c r="K56" s="2050"/>
      <c r="L56" s="2051"/>
      <c r="M56" s="2030"/>
      <c r="N56" s="2030"/>
      <c r="O56" s="2044"/>
      <c r="P56" s="1558"/>
      <c r="Q56" s="2044"/>
      <c r="R56" s="2044"/>
      <c r="S56" s="2044"/>
      <c r="T56" s="2044"/>
      <c r="U56" s="2044"/>
      <c r="V56" s="2044"/>
      <c r="W56" s="2044"/>
      <c r="X56" s="2044"/>
      <c r="Y56" s="2044"/>
      <c r="Z56" s="2044"/>
      <c r="AA56" s="2044"/>
      <c r="AB56" s="2044"/>
      <c r="AC56" s="2044"/>
    </row>
    <row r="57" spans="1:29" ht="26.25" customHeight="1">
      <c r="A57" s="629" t="s">
        <v>558</v>
      </c>
      <c r="B57" s="630" t="s">
        <v>559</v>
      </c>
      <c r="C57" s="1561" t="s">
        <v>1723</v>
      </c>
      <c r="D57" s="2125" t="s">
        <v>2291</v>
      </c>
      <c r="E57" s="631" t="s">
        <v>560</v>
      </c>
      <c r="F57" s="632" t="s">
        <v>561</v>
      </c>
      <c r="G57" s="3534" t="s">
        <v>2279</v>
      </c>
      <c r="H57" s="3535"/>
      <c r="I57" s="1556" t="s">
        <v>1721</v>
      </c>
      <c r="J57" s="1556" t="str">
        <f>项目基本情况!F41</f>
        <v>惠州市</v>
      </c>
      <c r="K57" s="2052" t="s">
        <v>1722</v>
      </c>
      <c r="L57" s="2048"/>
      <c r="M57" s="2043"/>
      <c r="N57" s="2043"/>
      <c r="O57" s="2043"/>
      <c r="P57" s="2043"/>
      <c r="Q57" s="2043"/>
      <c r="R57" s="2043"/>
      <c r="S57" s="2043"/>
      <c r="T57" s="2043"/>
      <c r="U57" s="2043"/>
      <c r="V57" s="2043"/>
      <c r="W57" s="2043"/>
      <c r="X57" s="2043"/>
      <c r="Y57" s="2043"/>
      <c r="Z57" s="2043"/>
      <c r="AA57" s="2043"/>
      <c r="AB57" s="2043"/>
      <c r="AC57" s="2043"/>
    </row>
    <row r="58" spans="1:29" s="1346" customFormat="1" ht="12.75">
      <c r="A58" s="633" t="s">
        <v>562</v>
      </c>
      <c r="B58" s="634">
        <f>C50</f>
        <v>4696</v>
      </c>
      <c r="C58" s="635">
        <v>1</v>
      </c>
      <c r="D58" s="2126">
        <v>1</v>
      </c>
      <c r="E58" s="635">
        <f>'数据-汇总表'!E8+'数据-汇总表'!E9</f>
        <v>154292.6</v>
      </c>
      <c r="F58" s="636">
        <f t="shared" ref="F58:F67" si="15">ROUND(B58*E58/10000,0)</f>
        <v>72456</v>
      </c>
      <c r="G58" s="3536"/>
      <c r="H58" s="3537"/>
      <c r="I58" s="1557">
        <v>1</v>
      </c>
      <c r="J58" s="1557">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563</v>
      </c>
      <c r="B59" s="638">
        <f>ROUND($C$50*C59*D59,0)</f>
        <v>0</v>
      </c>
      <c r="C59" s="378">
        <f t="shared" ref="C59:C67" si="16">IF($C$57="北京市系数",I59,J59)</f>
        <v>0</v>
      </c>
      <c r="D59" s="2127">
        <v>0.25</v>
      </c>
      <c r="E59" s="639">
        <v>0</v>
      </c>
      <c r="F59" s="636">
        <f t="shared" si="15"/>
        <v>0</v>
      </c>
      <c r="G59" s="3538" t="s">
        <v>2280</v>
      </c>
      <c r="H59" s="1846">
        <f>项目基本情况!B43</f>
        <v>0</v>
      </c>
      <c r="I59" s="1557">
        <f>SUMIF(修正!$A$45:$A$56,H59,修正!B45:B56)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564</v>
      </c>
      <c r="B60" s="638">
        <f t="shared" ref="B60:B67" si="17">ROUND($C$50*C60*D60,0)</f>
        <v>0</v>
      </c>
      <c r="C60" s="378">
        <f t="shared" si="16"/>
        <v>0</v>
      </c>
      <c r="D60" s="2127">
        <v>0.25</v>
      </c>
      <c r="E60" s="639">
        <v>0</v>
      </c>
      <c r="F60" s="636">
        <f t="shared" si="15"/>
        <v>0</v>
      </c>
      <c r="G60" s="3538"/>
      <c r="H60" s="1846">
        <f>项目基本情况!B43</f>
        <v>0</v>
      </c>
      <c r="I60" s="1557">
        <f>SUMIF(修正!$A$45:$A$56,H60,修正!C45:C56)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565</v>
      </c>
      <c r="B61" s="638">
        <f t="shared" si="17"/>
        <v>0</v>
      </c>
      <c r="C61" s="378">
        <f t="shared" si="16"/>
        <v>0</v>
      </c>
      <c r="D61" s="2127">
        <v>0.25</v>
      </c>
      <c r="E61" s="639">
        <v>0</v>
      </c>
      <c r="F61" s="636">
        <f t="shared" si="15"/>
        <v>0</v>
      </c>
      <c r="G61" s="3538"/>
      <c r="H61" s="1846">
        <f>项目基本情况!B43</f>
        <v>0</v>
      </c>
      <c r="I61" s="1557">
        <f>SUMIF(修正!$A$45:$A$56,H61,修正!D45:D56)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2.75">
      <c r="A62" s="637" t="s">
        <v>566</v>
      </c>
      <c r="B62" s="638">
        <f t="shared" si="17"/>
        <v>0</v>
      </c>
      <c r="C62" s="378">
        <f t="shared" si="16"/>
        <v>0</v>
      </c>
      <c r="D62" s="2127">
        <v>0.25</v>
      </c>
      <c r="E62" s="639">
        <v>0</v>
      </c>
      <c r="F62" s="636">
        <f t="shared" si="15"/>
        <v>0</v>
      </c>
      <c r="G62" s="3538"/>
      <c r="H62" s="1846">
        <f>项目基本情况!B43</f>
        <v>0</v>
      </c>
      <c r="I62" s="1557">
        <f>SUMIF(修正!$A$45:$A$56,H62,修正!E45:E56)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2.75">
      <c r="A63" s="2229" t="s">
        <v>2324</v>
      </c>
      <c r="B63" s="638">
        <f t="shared" si="17"/>
        <v>0</v>
      </c>
      <c r="C63" s="378">
        <f t="shared" si="16"/>
        <v>0</v>
      </c>
      <c r="D63" s="2127">
        <v>0.25</v>
      </c>
      <c r="E63" s="641">
        <f>'数据-汇总表'!E11</f>
        <v>0</v>
      </c>
      <c r="F63" s="636">
        <f t="shared" si="15"/>
        <v>0</v>
      </c>
      <c r="G63" s="1843" t="s">
        <v>2281</v>
      </c>
      <c r="H63" s="1846">
        <f>项目基本情况!C43</f>
        <v>0</v>
      </c>
      <c r="I63" s="1557">
        <f>SUMIF(修正!$A$45:$A$56,H63,修正!F45:F56)</f>
        <v>0</v>
      </c>
      <c r="J63" s="1559"/>
      <c r="K63" s="2053"/>
      <c r="L63" s="2053"/>
      <c r="M63" s="2053"/>
      <c r="N63" s="2053"/>
      <c r="O63" s="2053"/>
      <c r="P63" s="2053"/>
      <c r="Q63" s="2053"/>
      <c r="R63" s="2053"/>
      <c r="S63" s="2053"/>
      <c r="T63" s="2053"/>
      <c r="U63" s="2053"/>
      <c r="V63" s="2053"/>
      <c r="W63" s="2053"/>
      <c r="X63" s="2053"/>
      <c r="Y63" s="2053"/>
      <c r="Z63" s="2053"/>
      <c r="AA63" s="2053"/>
      <c r="AB63" s="2053"/>
      <c r="AC63" s="2053"/>
    </row>
    <row r="64" spans="1:29" s="1346" customFormat="1" ht="12.75">
      <c r="A64" s="637" t="s">
        <v>567</v>
      </c>
      <c r="B64" s="638">
        <f t="shared" si="17"/>
        <v>0</v>
      </c>
      <c r="C64" s="378">
        <f t="shared" si="16"/>
        <v>0</v>
      </c>
      <c r="D64" s="2127">
        <v>0.25</v>
      </c>
      <c r="E64" s="641">
        <f>'数据-汇总表'!E12</f>
        <v>0</v>
      </c>
      <c r="F64" s="636">
        <f t="shared" si="15"/>
        <v>0</v>
      </c>
      <c r="G64" s="1844" t="s">
        <v>1676</v>
      </c>
      <c r="H64" s="1842">
        <f>IF(G64="商业",项目基本情况!B43,IF(G64="办公",项目基本情况!C43,IF(G64="住宅",项目基本情况!D43,项目基本情况!E43)))</f>
        <v>0</v>
      </c>
      <c r="I64" s="1557">
        <f>SUMIF(修正!$A$45:$A$56,H64,修正!G45:G56)</f>
        <v>0</v>
      </c>
      <c r="J64" s="1559"/>
      <c r="K64" s="2053"/>
      <c r="L64" s="2053"/>
      <c r="M64" s="2053"/>
      <c r="N64" s="2053"/>
      <c r="O64" s="2053"/>
      <c r="P64" s="2053"/>
      <c r="Q64" s="2053"/>
      <c r="R64" s="2053"/>
      <c r="S64" s="2053"/>
      <c r="T64" s="2053"/>
      <c r="U64" s="2053"/>
      <c r="V64" s="2053"/>
      <c r="W64" s="2053"/>
      <c r="X64" s="2053"/>
      <c r="Y64" s="2053"/>
      <c r="Z64" s="2053"/>
      <c r="AA64" s="2053"/>
      <c r="AB64" s="2053"/>
      <c r="AC64" s="2053"/>
    </row>
    <row r="65" spans="1:29" s="1346" customFormat="1" ht="12.75">
      <c r="A65" s="637" t="s">
        <v>568</v>
      </c>
      <c r="B65" s="638">
        <f t="shared" si="17"/>
        <v>0</v>
      </c>
      <c r="C65" s="378">
        <f t="shared" si="16"/>
        <v>0</v>
      </c>
      <c r="D65" s="2127">
        <v>0.25</v>
      </c>
      <c r="E65" s="641">
        <f>'数据-汇总表'!E13</f>
        <v>0</v>
      </c>
      <c r="F65" s="636">
        <f t="shared" si="15"/>
        <v>0</v>
      </c>
      <c r="G65" s="1844" t="s">
        <v>921</v>
      </c>
      <c r="H65" s="1842">
        <f>IF(G65="商业",项目基本情况!B43,IF(G65="办公",项目基本情况!C43,IF(G65="住宅",项目基本情况!D43,项目基本情况!E43)))</f>
        <v>0</v>
      </c>
      <c r="I65" s="1557">
        <f>SUMIF(修正!$A$45:$A$56,H65,修正!H45:H56)</f>
        <v>0</v>
      </c>
      <c r="J65" s="1559"/>
      <c r="K65" s="2053"/>
      <c r="L65" s="2053"/>
      <c r="M65" s="2053"/>
      <c r="N65" s="2053"/>
      <c r="O65" s="2053"/>
      <c r="P65" s="2053"/>
      <c r="Q65" s="2053"/>
      <c r="R65" s="2053"/>
      <c r="S65" s="2053"/>
      <c r="T65" s="2053"/>
      <c r="U65" s="2053"/>
      <c r="V65" s="2053"/>
      <c r="W65" s="2053"/>
      <c r="X65" s="2053"/>
      <c r="Y65" s="2053"/>
      <c r="Z65" s="2053"/>
      <c r="AA65" s="2053"/>
      <c r="AB65" s="2053"/>
      <c r="AC65" s="2053"/>
    </row>
    <row r="66" spans="1:29" s="1346" customFormat="1" ht="12.75">
      <c r="A66" s="637" t="s">
        <v>569</v>
      </c>
      <c r="B66" s="638">
        <f t="shared" si="17"/>
        <v>0</v>
      </c>
      <c r="C66" s="378">
        <f t="shared" si="16"/>
        <v>0</v>
      </c>
      <c r="D66" s="2127">
        <v>0.25</v>
      </c>
      <c r="E66" s="641">
        <f>'数据-汇总表'!E14</f>
        <v>0</v>
      </c>
      <c r="F66" s="636">
        <f t="shared" si="15"/>
        <v>0</v>
      </c>
      <c r="G66" s="1843" t="s">
        <v>2280</v>
      </c>
      <c r="H66" s="1846">
        <f>项目基本情况!B43</f>
        <v>0</v>
      </c>
      <c r="I66" s="1557">
        <f>SUMIF(修正!$A$45:$A$56,H66,修正!H45:H56)</f>
        <v>0</v>
      </c>
      <c r="J66" s="1559"/>
      <c r="K66" s="2053"/>
      <c r="L66" s="2053"/>
      <c r="M66" s="2053"/>
      <c r="N66" s="2053"/>
      <c r="O66" s="2053"/>
      <c r="P66" s="2053"/>
      <c r="Q66" s="2053"/>
      <c r="R66" s="2053"/>
      <c r="S66" s="2053"/>
      <c r="T66" s="2053"/>
      <c r="U66" s="2053"/>
      <c r="V66" s="2053"/>
      <c r="W66" s="2053"/>
      <c r="X66" s="2053"/>
      <c r="Y66" s="2053"/>
      <c r="Z66" s="2053"/>
      <c r="AA66" s="2053"/>
      <c r="AB66" s="2053"/>
      <c r="AC66" s="2053"/>
    </row>
    <row r="67" spans="1:29" s="1346" customFormat="1" ht="13.5" thickBot="1">
      <c r="A67" s="637" t="s">
        <v>570</v>
      </c>
      <c r="B67" s="638">
        <f t="shared" si="17"/>
        <v>0</v>
      </c>
      <c r="C67" s="378">
        <f t="shared" si="16"/>
        <v>0</v>
      </c>
      <c r="D67" s="2127">
        <v>0.25</v>
      </c>
      <c r="E67" s="641">
        <f>'数据-汇总表'!E15</f>
        <v>0</v>
      </c>
      <c r="F67" s="636">
        <f t="shared" si="15"/>
        <v>0</v>
      </c>
      <c r="G67" s="1845" t="s">
        <v>2281</v>
      </c>
      <c r="H67" s="1847">
        <f>项目基本情况!C43</f>
        <v>0</v>
      </c>
      <c r="I67" s="1557">
        <f>SUMIF(修正!$A$45:$A$56,H67,修正!H45:H56)</f>
        <v>0</v>
      </c>
      <c r="J67" s="1559"/>
      <c r="K67" s="2053"/>
      <c r="L67" s="2053"/>
      <c r="M67" s="2053"/>
      <c r="N67" s="2053"/>
      <c r="O67" s="2053"/>
      <c r="P67" s="2053"/>
      <c r="Q67" s="2053"/>
      <c r="R67" s="2053"/>
      <c r="S67" s="2053"/>
      <c r="T67" s="2053"/>
      <c r="U67" s="2053"/>
      <c r="V67" s="2053"/>
      <c r="W67" s="2053"/>
      <c r="X67" s="2053"/>
      <c r="Y67" s="2053"/>
      <c r="Z67" s="2053"/>
      <c r="AA67" s="2053"/>
      <c r="AB67" s="2053"/>
      <c r="AC67" s="2053"/>
    </row>
    <row r="68" spans="1:29" s="1346" customFormat="1" ht="13.5" thickBot="1">
      <c r="A68" s="642" t="s">
        <v>571</v>
      </c>
      <c r="B68" s="643" t="s">
        <v>17</v>
      </c>
      <c r="C68" s="643" t="s">
        <v>18</v>
      </c>
      <c r="D68" s="643" t="s">
        <v>2292</v>
      </c>
      <c r="E68" s="643">
        <f>IF(B48="楼面地价",SUM(E58:E67),'数据-汇总表'!D3)</f>
        <v>154292.6</v>
      </c>
      <c r="F68" s="644">
        <f>IF(B48="楼面地价",SUM(F58:F67),ROUND(C50*E68/10000,0))</f>
        <v>72456</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4" t="str">
        <f>YEAR(C9)&amp;"-"&amp;MONTH(C9)&amp;"-1"</f>
        <v>2017-12-1</v>
      </c>
      <c r="D70" s="2714">
        <f>EDATE(C70,-3)</f>
        <v>42979</v>
      </c>
      <c r="E70" s="2714">
        <f t="shared" ref="E70:N70" si="18">EDATE(D70,-3)</f>
        <v>42887</v>
      </c>
      <c r="F70" s="2714">
        <f t="shared" si="18"/>
        <v>42795</v>
      </c>
      <c r="G70" s="2714">
        <f t="shared" si="18"/>
        <v>42705</v>
      </c>
      <c r="H70" s="2714">
        <f t="shared" si="18"/>
        <v>42614</v>
      </c>
      <c r="I70" s="2714">
        <f t="shared" si="18"/>
        <v>42522</v>
      </c>
      <c r="J70" s="2714">
        <f t="shared" si="18"/>
        <v>42430</v>
      </c>
      <c r="K70" s="2714">
        <f t="shared" si="18"/>
        <v>42339</v>
      </c>
      <c r="L70" s="2714">
        <f t="shared" si="18"/>
        <v>42248</v>
      </c>
      <c r="M70" s="2714">
        <f t="shared" si="18"/>
        <v>42156</v>
      </c>
      <c r="N70" s="2714">
        <f t="shared" si="18"/>
        <v>42064</v>
      </c>
      <c r="O70" s="2043"/>
      <c r="P70" s="2043"/>
      <c r="Q70" s="2043"/>
      <c r="R70" s="2043"/>
      <c r="S70" s="2043"/>
      <c r="T70" s="2043"/>
      <c r="U70" s="2043"/>
      <c r="V70" s="2043"/>
      <c r="W70" s="2043"/>
      <c r="X70" s="2043"/>
      <c r="Y70" s="2043"/>
      <c r="Z70" s="2043"/>
      <c r="AA70" s="2043"/>
      <c r="AB70" s="2043"/>
      <c r="AC70" s="2043"/>
    </row>
    <row r="71" spans="1:29" ht="21.75" thickBot="1">
      <c r="A71" s="1585" t="s">
        <v>572</v>
      </c>
      <c r="B71" s="1560"/>
      <c r="C71" s="1584"/>
      <c r="D71" s="1584"/>
      <c r="E71" s="1584"/>
      <c r="F71" s="1586"/>
      <c r="G71" s="1586"/>
      <c r="H71" s="1584"/>
      <c r="I71" s="1584"/>
      <c r="J71" s="1584"/>
      <c r="K71" s="1587"/>
      <c r="L71" s="1583"/>
      <c r="M71" s="1584"/>
      <c r="N71" s="1584"/>
      <c r="O71" s="2055"/>
      <c r="P71" s="2055"/>
      <c r="Q71" s="2056"/>
      <c r="R71" s="2043"/>
      <c r="S71" s="2043"/>
      <c r="T71" s="2043"/>
      <c r="U71" s="2043"/>
      <c r="V71" s="2043"/>
      <c r="W71" s="2043"/>
      <c r="X71" s="2043"/>
      <c r="Y71" s="2043"/>
      <c r="Z71" s="2043"/>
      <c r="AA71" s="2043"/>
      <c r="AB71" s="2043"/>
      <c r="AC71" s="2043"/>
    </row>
    <row r="72" spans="1:29" s="1347" customFormat="1" ht="15">
      <c r="A72" s="2487" t="s">
        <v>2529</v>
      </c>
      <c r="B72" s="2488"/>
      <c r="C72" s="2709" t="str">
        <f>YEAR(C70)&amp;"-"&amp;ROUNDUP(MONTH(C70)/3,0)</f>
        <v>2017-4</v>
      </c>
      <c r="D72" s="2716" t="str">
        <f>YEAR(D70)&amp;"-"&amp;ROUNDUP(MONTH(D70)/3,0)</f>
        <v>2017-3</v>
      </c>
      <c r="E72" s="2716" t="str">
        <f t="shared" ref="E72:N72" si="19">YEAR(E70)&amp;"-"&amp;ROUNDUP(MONTH(E70)/3,0)</f>
        <v>2017-2</v>
      </c>
      <c r="F72" s="2716" t="str">
        <f t="shared" si="19"/>
        <v>2017-1</v>
      </c>
      <c r="G72" s="2716" t="str">
        <f t="shared" si="19"/>
        <v>2016-4</v>
      </c>
      <c r="H72" s="2716" t="str">
        <f t="shared" si="19"/>
        <v>2016-3</v>
      </c>
      <c r="I72" s="2716" t="str">
        <f t="shared" si="19"/>
        <v>2016-2</v>
      </c>
      <c r="J72" s="2716" t="str">
        <f t="shared" si="19"/>
        <v>2016-1</v>
      </c>
      <c r="K72" s="2716" t="str">
        <f t="shared" si="19"/>
        <v>2015-4</v>
      </c>
      <c r="L72" s="2716" t="str">
        <f t="shared" si="19"/>
        <v>2015-3</v>
      </c>
      <c r="M72" s="2716" t="str">
        <f t="shared" si="19"/>
        <v>2015-2</v>
      </c>
      <c r="N72" s="2716" t="str">
        <f t="shared" si="19"/>
        <v>2015-1</v>
      </c>
      <c r="O72" s="2057"/>
      <c r="P72" s="2058"/>
      <c r="Q72" s="2059"/>
      <c r="R72" s="2059"/>
      <c r="S72" s="2059"/>
      <c r="T72" s="2059"/>
      <c r="U72" s="2059"/>
      <c r="V72" s="2059"/>
      <c r="W72" s="2059"/>
      <c r="X72" s="2059"/>
      <c r="Y72" s="2059"/>
      <c r="Z72" s="2059"/>
      <c r="AA72" s="2059"/>
      <c r="AB72" s="2059"/>
      <c r="AC72" s="2059"/>
    </row>
    <row r="73" spans="1:29" s="1220" customFormat="1" ht="27" customHeight="1">
      <c r="A73" s="2721" t="s">
        <v>2646</v>
      </c>
      <c r="B73" s="479" t="str">
        <f>"北京市平均增长率"&amp;TEXT(SUMIF(基准地价!N21:N25,A73,基准地价!P21:P25),"0.00%")</f>
        <v>北京市平均增长率2.49%</v>
      </c>
      <c r="C73" s="894">
        <v>100</v>
      </c>
      <c r="D73" s="730">
        <v>99</v>
      </c>
      <c r="E73" s="730">
        <v>98</v>
      </c>
      <c r="F73" s="730">
        <v>97</v>
      </c>
      <c r="G73" s="730">
        <v>96</v>
      </c>
      <c r="H73" s="730">
        <v>95</v>
      </c>
      <c r="I73" s="730">
        <v>94</v>
      </c>
      <c r="J73" s="730">
        <v>93</v>
      </c>
      <c r="K73" s="730">
        <v>92</v>
      </c>
      <c r="L73" s="730">
        <v>91</v>
      </c>
      <c r="M73" s="730">
        <v>90</v>
      </c>
      <c r="N73" s="730">
        <v>89</v>
      </c>
      <c r="O73" s="2060"/>
      <c r="P73" s="2056"/>
      <c r="Q73" s="1891"/>
      <c r="R73" s="1891"/>
      <c r="S73" s="1891"/>
      <c r="T73" s="1891"/>
      <c r="U73" s="1891"/>
      <c r="V73" s="1891"/>
      <c r="W73" s="1891"/>
      <c r="X73" s="1891"/>
      <c r="Y73" s="1891"/>
      <c r="Z73" s="1891"/>
      <c r="AA73" s="1891"/>
      <c r="AB73" s="1891"/>
      <c r="AC73" s="1891"/>
    </row>
    <row r="74" spans="1:29" s="1220" customFormat="1" ht="15" customHeight="1" thickBot="1">
      <c r="A74" s="2711" t="s">
        <v>2645</v>
      </c>
      <c r="B74" s="2720"/>
      <c r="C74" s="2705"/>
      <c r="D74" s="2706"/>
      <c r="E74" s="2706"/>
      <c r="F74" s="2706"/>
      <c r="G74" s="2706"/>
      <c r="H74" s="2706"/>
      <c r="I74" s="2706"/>
      <c r="J74" s="2706"/>
      <c r="K74" s="2706"/>
      <c r="L74" s="2706"/>
      <c r="M74" s="2706"/>
      <c r="N74" s="2706"/>
      <c r="O74" s="2060"/>
      <c r="P74" s="2056"/>
      <c r="Q74" s="2056"/>
      <c r="R74" s="1891"/>
      <c r="S74" s="1891"/>
      <c r="T74" s="1891"/>
      <c r="U74" s="1891"/>
      <c r="V74" s="1891"/>
      <c r="W74" s="1891"/>
      <c r="X74" s="1891"/>
      <c r="Y74" s="1891"/>
      <c r="Z74" s="1891"/>
      <c r="AA74" s="1891"/>
      <c r="AB74" s="1891"/>
      <c r="AC74" s="1891"/>
    </row>
    <row r="75" spans="1:29" s="1220" customFormat="1" ht="15">
      <c r="A75" s="659" t="s">
        <v>529</v>
      </c>
      <c r="B75" s="648"/>
      <c r="C75" s="660" t="s">
        <v>574</v>
      </c>
      <c r="D75" s="661"/>
      <c r="E75" s="661"/>
      <c r="F75" s="661"/>
      <c r="G75" s="661"/>
      <c r="H75" s="661"/>
      <c r="I75" s="661"/>
      <c r="J75" s="661"/>
      <c r="K75" s="661"/>
      <c r="L75" s="662"/>
      <c r="M75" s="663"/>
      <c r="N75" s="2060"/>
      <c r="O75" s="2060"/>
      <c r="P75" s="2061"/>
      <c r="Q75" s="2056"/>
      <c r="R75" s="1891"/>
      <c r="S75" s="1891"/>
      <c r="T75" s="1891"/>
      <c r="U75" s="1891"/>
      <c r="V75" s="1891"/>
      <c r="W75" s="1891"/>
      <c r="X75" s="1891"/>
      <c r="Y75" s="1891"/>
      <c r="Z75" s="1891"/>
      <c r="AA75" s="1891"/>
      <c r="AB75" s="1891"/>
      <c r="AC75" s="1891"/>
    </row>
    <row r="76" spans="1:29" s="1220" customFormat="1" ht="15.75" thickBot="1">
      <c r="A76" s="659"/>
      <c r="B76" s="648"/>
      <c r="C76" s="649">
        <v>100</v>
      </c>
      <c r="D76" s="650"/>
      <c r="E76" s="650"/>
      <c r="F76" s="650"/>
      <c r="G76" s="650"/>
      <c r="H76" s="650"/>
      <c r="I76" s="650"/>
      <c r="J76" s="650"/>
      <c r="K76" s="650"/>
      <c r="L76" s="650"/>
      <c r="M76" s="652"/>
      <c r="N76" s="2060"/>
      <c r="O76" s="2060"/>
      <c r="P76" s="2056"/>
      <c r="Q76" s="2056"/>
      <c r="R76" s="1891"/>
      <c r="S76" s="1891"/>
      <c r="T76" s="1891"/>
      <c r="U76" s="1891"/>
      <c r="V76" s="1891"/>
      <c r="W76" s="1891"/>
      <c r="X76" s="1891"/>
      <c r="Y76" s="1891"/>
      <c r="Z76" s="1891"/>
      <c r="AA76" s="1891"/>
      <c r="AB76" s="1891"/>
      <c r="AC76" s="1891"/>
    </row>
    <row r="77" spans="1:29">
      <c r="A77" s="664" t="s">
        <v>575</v>
      </c>
      <c r="B77" s="665" t="s">
        <v>532</v>
      </c>
      <c r="C77" s="3304" t="s">
        <v>3175</v>
      </c>
      <c r="D77" s="59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1"/>
      <c r="D78" s="671"/>
      <c r="E78" s="671"/>
      <c r="F78" s="671"/>
      <c r="G78" s="671"/>
      <c r="H78" s="671"/>
      <c r="I78" s="671"/>
      <c r="J78" s="671"/>
      <c r="K78" s="671"/>
      <c r="L78" s="671"/>
      <c r="M78" s="672"/>
      <c r="N78" s="2064"/>
      <c r="O78" s="2064"/>
      <c r="P78" s="2063"/>
      <c r="Q78" s="2056"/>
      <c r="R78" s="2043"/>
      <c r="S78" s="2043"/>
      <c r="T78" s="2043"/>
      <c r="U78" s="2043"/>
      <c r="V78" s="2043"/>
      <c r="W78" s="2043"/>
      <c r="X78" s="2043"/>
      <c r="Y78" s="2043"/>
      <c r="Z78" s="2043"/>
      <c r="AA78" s="2043"/>
      <c r="AB78" s="2043"/>
      <c r="AC78" s="2043"/>
    </row>
    <row r="79" spans="1:29" ht="27.75" thickTop="1">
      <c r="A79" s="669"/>
      <c r="B79" s="673" t="s">
        <v>535</v>
      </c>
      <c r="C79" s="674"/>
      <c r="D79" s="674"/>
      <c r="E79" s="674"/>
      <c r="F79" s="674"/>
      <c r="G79" s="674"/>
      <c r="H79" s="674"/>
      <c r="I79" s="674"/>
      <c r="J79" s="674"/>
      <c r="K79" s="675"/>
      <c r="L79" s="676"/>
      <c r="M79" s="677"/>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c r="D80" s="679"/>
      <c r="E80" s="679"/>
      <c r="F80" s="679"/>
      <c r="G80" s="679"/>
      <c r="H80" s="679"/>
      <c r="I80" s="679"/>
      <c r="J80" s="679"/>
      <c r="K80" s="679"/>
      <c r="L80" s="679"/>
      <c r="M80" s="680"/>
      <c r="N80" s="2064"/>
      <c r="O80" s="2064"/>
      <c r="P80" s="2063"/>
      <c r="Q80" s="2056"/>
      <c r="R80" s="2043"/>
      <c r="S80" s="2043"/>
      <c r="T80" s="2043"/>
      <c r="U80" s="2043"/>
      <c r="V80" s="2043"/>
      <c r="W80" s="2043"/>
      <c r="X80" s="2043"/>
      <c r="Y80" s="2043"/>
      <c r="Z80" s="2043"/>
      <c r="AA80" s="2043"/>
      <c r="AB80" s="2043"/>
      <c r="AC80" s="2043"/>
    </row>
    <row r="81" spans="1:29" ht="15.75" thickTop="1">
      <c r="A81" s="669"/>
      <c r="B81" s="681" t="s">
        <v>536</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v>
      </c>
      <c r="I81" s="682" t="str">
        <f t="shared" si="20"/>
        <v>（含）-</v>
      </c>
      <c r="J81" s="682" t="str">
        <f t="shared" si="20"/>
        <v>（含）-</v>
      </c>
      <c r="K81" s="682" t="str">
        <f t="shared" si="20"/>
        <v>（含）-</v>
      </c>
      <c r="L81" s="682" t="str">
        <f t="shared" si="20"/>
        <v>（含）-</v>
      </c>
      <c r="M81" s="555"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669"/>
      <c r="B82" s="683"/>
      <c r="C82" s="541">
        <v>1</v>
      </c>
      <c r="D82" s="541">
        <v>1.5</v>
      </c>
      <c r="E82" s="541">
        <v>2</v>
      </c>
      <c r="F82" s="541">
        <v>2.5</v>
      </c>
      <c r="G82" s="541">
        <v>3</v>
      </c>
      <c r="H82" s="541">
        <v>3.5</v>
      </c>
      <c r="I82" s="541"/>
      <c r="J82" s="541"/>
      <c r="K82" s="684"/>
      <c r="L82" s="685"/>
      <c r="M82" s="686"/>
      <c r="N82" s="2062"/>
      <c r="O82" s="2062"/>
      <c r="P82" s="2063"/>
      <c r="Q82" s="2056"/>
      <c r="R82" s="2043"/>
      <c r="S82" s="2043"/>
      <c r="T82" s="2043"/>
      <c r="U82" s="2043"/>
      <c r="V82" s="2043"/>
      <c r="W82" s="2043"/>
      <c r="X82" s="2043"/>
      <c r="Y82" s="2043"/>
      <c r="Z82" s="2043"/>
      <c r="AA82" s="2043"/>
      <c r="AB82" s="2043"/>
      <c r="AC82" s="20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064"/>
      <c r="O83" s="2064"/>
      <c r="P83" s="2063"/>
      <c r="Q83" s="2056"/>
      <c r="R83" s="2043"/>
      <c r="S83" s="2043"/>
      <c r="T83" s="2043"/>
      <c r="U83" s="2043"/>
      <c r="V83" s="2043"/>
      <c r="W83" s="2043"/>
      <c r="X83" s="2043"/>
      <c r="Y83" s="2043"/>
      <c r="Z83" s="2043"/>
      <c r="AA83" s="2043"/>
      <c r="AB83" s="2043"/>
      <c r="AC83" s="2043"/>
    </row>
    <row r="84" spans="1:29" s="1339" customFormat="1" ht="15.75" hidden="1" thickTop="1">
      <c r="A84" s="687"/>
      <c r="B84" s="673" t="str">
        <f>B14</f>
        <v>配建</v>
      </c>
      <c r="C84" s="688"/>
      <c r="D84" s="1376"/>
      <c r="E84" s="1377"/>
      <c r="F84" s="688"/>
      <c r="G84" s="688"/>
      <c r="H84" s="689"/>
      <c r="I84" s="689"/>
      <c r="J84" s="689"/>
      <c r="K84" s="689"/>
      <c r="L84" s="690"/>
      <c r="M84" s="691"/>
      <c r="N84" s="2065"/>
      <c r="O84" s="2065"/>
      <c r="P84" s="2066"/>
      <c r="Q84" s="2067"/>
      <c r="R84" s="2068"/>
      <c r="S84" s="2068"/>
      <c r="T84" s="2068"/>
      <c r="U84" s="2068"/>
      <c r="V84" s="2068"/>
      <c r="W84" s="2068"/>
      <c r="X84" s="2068"/>
      <c r="Y84" s="2068"/>
      <c r="Z84" s="2068"/>
      <c r="AA84" s="2068"/>
      <c r="AB84" s="2068"/>
      <c r="AC84" s="2068"/>
    </row>
    <row r="85" spans="1:29" s="1339" customFormat="1" ht="15.75" hidden="1" thickBot="1">
      <c r="A85" s="687"/>
      <c r="B85" s="678"/>
      <c r="C85" s="692"/>
      <c r="D85" s="671"/>
      <c r="E85" s="671"/>
      <c r="F85" s="671"/>
      <c r="G85" s="671"/>
      <c r="H85" s="671"/>
      <c r="I85" s="671"/>
      <c r="J85" s="671"/>
      <c r="K85" s="671"/>
      <c r="L85" s="671"/>
      <c r="M85" s="672"/>
      <c r="N85" s="2064"/>
      <c r="O85" s="2064"/>
      <c r="P85" s="2066"/>
      <c r="Q85" s="2067"/>
      <c r="R85" s="2068"/>
      <c r="S85" s="2068"/>
      <c r="T85" s="2068"/>
      <c r="U85" s="2068"/>
      <c r="V85" s="2068"/>
      <c r="W85" s="2068"/>
      <c r="X85" s="2068"/>
      <c r="Y85" s="2068"/>
      <c r="Z85" s="2068"/>
      <c r="AA85" s="2068"/>
      <c r="AB85" s="2068"/>
      <c r="AC85" s="2068"/>
    </row>
    <row r="86" spans="1:29" s="1339" customFormat="1" ht="15.75" hidden="1" thickTop="1">
      <c r="A86" s="687"/>
      <c r="B86" s="673">
        <f>B15</f>
        <v>0</v>
      </c>
      <c r="C86" s="688"/>
      <c r="D86" s="688"/>
      <c r="E86" s="688"/>
      <c r="F86" s="688"/>
      <c r="G86" s="688"/>
      <c r="H86" s="689"/>
      <c r="I86" s="689"/>
      <c r="J86" s="689"/>
      <c r="K86" s="689"/>
      <c r="L86" s="690"/>
      <c r="M86" s="691"/>
      <c r="N86" s="2065"/>
      <c r="O86" s="2065"/>
      <c r="P86" s="2069"/>
      <c r="Q86" s="2070"/>
      <c r="R86" s="2068"/>
      <c r="S86" s="2068"/>
      <c r="T86" s="2068"/>
      <c r="U86" s="2068"/>
      <c r="V86" s="2068"/>
      <c r="W86" s="2068"/>
      <c r="X86" s="2068"/>
      <c r="Y86" s="2068"/>
      <c r="Z86" s="2068"/>
      <c r="AA86" s="2068"/>
      <c r="AB86" s="2068"/>
      <c r="AC86" s="2068"/>
    </row>
    <row r="87" spans="1:29" s="1339" customFormat="1" ht="15.75" hidden="1" thickBot="1">
      <c r="A87" s="687"/>
      <c r="B87" s="678"/>
      <c r="C87" s="692"/>
      <c r="D87" s="692"/>
      <c r="E87" s="692"/>
      <c r="F87" s="692"/>
      <c r="G87" s="692"/>
      <c r="H87" s="693"/>
      <c r="I87" s="693"/>
      <c r="J87" s="693"/>
      <c r="K87" s="693"/>
      <c r="L87" s="693"/>
      <c r="M87" s="694"/>
      <c r="N87" s="2065"/>
      <c r="O87" s="2065"/>
      <c r="P87" s="2066"/>
      <c r="Q87" s="2067"/>
      <c r="R87" s="2068"/>
      <c r="S87" s="2068"/>
      <c r="T87" s="2068"/>
      <c r="U87" s="2068"/>
      <c r="V87" s="2068"/>
      <c r="W87" s="2068"/>
      <c r="X87" s="2068"/>
      <c r="Y87" s="2068"/>
      <c r="Z87" s="2068"/>
      <c r="AA87" s="2068"/>
      <c r="AB87" s="2068"/>
      <c r="AC87" s="2068"/>
    </row>
    <row r="88" spans="1:29" s="1339" customFormat="1" ht="15.75" hidden="1" thickTop="1">
      <c r="A88" s="687"/>
      <c r="B88" s="681">
        <f>B16</f>
        <v>0</v>
      </c>
      <c r="C88" s="661"/>
      <c r="D88" s="661"/>
      <c r="E88" s="661"/>
      <c r="F88" s="661"/>
      <c r="G88" s="661"/>
      <c r="H88" s="695"/>
      <c r="I88" s="695"/>
      <c r="J88" s="695"/>
      <c r="K88" s="695"/>
      <c r="L88" s="696"/>
      <c r="M88" s="697"/>
      <c r="N88" s="2065"/>
      <c r="O88" s="2065"/>
      <c r="P88" s="2071"/>
      <c r="Q88" s="2067"/>
      <c r="R88" s="2068"/>
      <c r="S88" s="2068"/>
      <c r="T88" s="2068"/>
      <c r="U88" s="2068"/>
      <c r="V88" s="2068"/>
      <c r="W88" s="2068"/>
      <c r="X88" s="2068"/>
      <c r="Y88" s="2068"/>
      <c r="Z88" s="2068"/>
      <c r="AA88" s="2068"/>
      <c r="AB88" s="2068"/>
      <c r="AC88" s="2068"/>
    </row>
    <row r="89" spans="1:29" s="1339" customFormat="1" ht="15.75" hidden="1" thickBot="1">
      <c r="A89" s="698"/>
      <c r="B89" s="699"/>
      <c r="C89" s="700"/>
      <c r="D89" s="700"/>
      <c r="E89" s="700"/>
      <c r="F89" s="700"/>
      <c r="G89" s="700"/>
      <c r="H89" s="701"/>
      <c r="I89" s="701"/>
      <c r="J89" s="701"/>
      <c r="K89" s="701"/>
      <c r="L89" s="701"/>
      <c r="M89" s="702"/>
      <c r="N89" s="2065"/>
      <c r="O89" s="2065"/>
      <c r="P89" s="2066"/>
      <c r="Q89" s="2067"/>
      <c r="R89" s="2068"/>
      <c r="S89" s="2068"/>
      <c r="T89" s="2068"/>
      <c r="U89" s="2068"/>
      <c r="V89" s="2068"/>
      <c r="W89" s="2068"/>
      <c r="X89" s="2068"/>
      <c r="Y89" s="2068"/>
      <c r="Z89" s="2068"/>
      <c r="AA89" s="2068"/>
      <c r="AB89" s="2068"/>
      <c r="AC89" s="2068"/>
    </row>
    <row r="90" spans="1:29" ht="15" thickTop="1">
      <c r="A90" s="664" t="s">
        <v>537</v>
      </c>
      <c r="B90" s="665" t="s">
        <v>576</v>
      </c>
      <c r="C90" s="703" t="s">
        <v>577</v>
      </c>
      <c r="D90" s="703" t="s">
        <v>578</v>
      </c>
      <c r="E90" s="703" t="s">
        <v>579</v>
      </c>
      <c r="F90" s="703" t="s">
        <v>580</v>
      </c>
      <c r="G90" s="703" t="s">
        <v>581</v>
      </c>
      <c r="H90" s="704"/>
      <c r="I90" s="704"/>
      <c r="J90" s="704"/>
      <c r="K90" s="705"/>
      <c r="L90" s="706"/>
      <c r="M90" s="707"/>
      <c r="N90" s="2062"/>
      <c r="O90" s="2062"/>
      <c r="P90" s="2072"/>
      <c r="Q90" s="2056"/>
      <c r="R90" s="2043"/>
      <c r="S90" s="2043"/>
      <c r="T90" s="2043"/>
      <c r="U90" s="2043"/>
      <c r="V90" s="2043"/>
      <c r="W90" s="2043"/>
      <c r="X90" s="2043"/>
      <c r="Y90" s="2043"/>
      <c r="Z90" s="2043"/>
      <c r="AA90" s="2043"/>
      <c r="AB90" s="2043"/>
      <c r="AC90" s="2043"/>
    </row>
    <row r="91" spans="1:29" ht="15.75" thickBot="1">
      <c r="A91" s="669"/>
      <c r="B91" s="678"/>
      <c r="C91" s="679">
        <v>100</v>
      </c>
      <c r="D91" s="679">
        <f>C91-$K17</f>
        <v>95</v>
      </c>
      <c r="E91" s="679">
        <f>D91-$K17</f>
        <v>90</v>
      </c>
      <c r="F91" s="679">
        <f>E91-$K17</f>
        <v>85</v>
      </c>
      <c r="G91" s="679">
        <f>F91-$K17</f>
        <v>80</v>
      </c>
      <c r="H91" s="679"/>
      <c r="I91" s="679"/>
      <c r="J91" s="679"/>
      <c r="K91" s="679"/>
      <c r="L91" s="679"/>
      <c r="M91" s="680"/>
      <c r="N91" s="2064"/>
      <c r="O91" s="2064"/>
      <c r="P91" s="2063"/>
      <c r="Q91" s="2056"/>
      <c r="R91" s="2043"/>
      <c r="S91" s="2043"/>
      <c r="T91" s="2043"/>
      <c r="U91" s="2043"/>
      <c r="V91" s="2043"/>
      <c r="W91" s="2043"/>
      <c r="X91" s="2043"/>
      <c r="Y91" s="2043"/>
      <c r="Z91" s="2043"/>
      <c r="AA91" s="2043"/>
      <c r="AB91" s="2043"/>
      <c r="AC91" s="2043"/>
    </row>
    <row r="92" spans="1:29" ht="15.75" thickTop="1">
      <c r="A92" s="669"/>
      <c r="B92" s="673" t="s">
        <v>582</v>
      </c>
      <c r="C92" s="708" t="s">
        <v>577</v>
      </c>
      <c r="D92" s="708" t="s">
        <v>578</v>
      </c>
      <c r="E92" s="708" t="s">
        <v>579</v>
      </c>
      <c r="F92" s="708" t="s">
        <v>580</v>
      </c>
      <c r="G92" s="708" t="s">
        <v>581</v>
      </c>
      <c r="H92" s="674"/>
      <c r="I92" s="674"/>
      <c r="J92" s="674"/>
      <c r="K92" s="675"/>
      <c r="L92" s="676"/>
      <c r="M92" s="677"/>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064"/>
      <c r="O93" s="2064"/>
      <c r="P93" s="2063"/>
      <c r="Q93" s="2056"/>
      <c r="R93" s="2043"/>
      <c r="S93" s="2043"/>
      <c r="T93" s="2043"/>
      <c r="U93" s="2043"/>
      <c r="V93" s="2043"/>
      <c r="W93" s="2043"/>
      <c r="X93" s="2043"/>
      <c r="Y93" s="2043"/>
      <c r="Z93" s="2043"/>
      <c r="AA93" s="2043"/>
      <c r="AB93" s="2043"/>
      <c r="AC93" s="2043"/>
    </row>
    <row r="94" spans="1:29" ht="15.75" thickTop="1">
      <c r="A94" s="669"/>
      <c r="B94" s="673" t="s">
        <v>583</v>
      </c>
      <c r="C94" s="708" t="s">
        <v>577</v>
      </c>
      <c r="D94" s="708" t="s">
        <v>578</v>
      </c>
      <c r="E94" s="708" t="s">
        <v>579</v>
      </c>
      <c r="F94" s="708" t="s">
        <v>580</v>
      </c>
      <c r="G94" s="708" t="s">
        <v>581</v>
      </c>
      <c r="H94" s="674"/>
      <c r="I94" s="674"/>
      <c r="J94" s="674"/>
      <c r="K94" s="675"/>
      <c r="L94" s="676"/>
      <c r="M94" s="677"/>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064"/>
      <c r="O95" s="2064"/>
      <c r="P95" s="2063"/>
      <c r="Q95" s="2056"/>
      <c r="R95" s="2043"/>
      <c r="S95" s="2043"/>
      <c r="T95" s="2043"/>
      <c r="U95" s="2043"/>
      <c r="V95" s="2043"/>
      <c r="W95" s="2043"/>
      <c r="X95" s="2043"/>
      <c r="Y95" s="2043"/>
      <c r="Z95" s="2043"/>
      <c r="AA95" s="2043"/>
      <c r="AB95" s="2043"/>
      <c r="AC95" s="2043"/>
    </row>
    <row r="96" spans="1:29" ht="15.75" thickTop="1">
      <c r="A96" s="669"/>
      <c r="B96" s="673" t="s">
        <v>584</v>
      </c>
      <c r="C96" s="708" t="s">
        <v>577</v>
      </c>
      <c r="D96" s="708" t="s">
        <v>578</v>
      </c>
      <c r="E96" s="708" t="s">
        <v>579</v>
      </c>
      <c r="F96" s="708" t="s">
        <v>580</v>
      </c>
      <c r="G96" s="708" t="s">
        <v>581</v>
      </c>
      <c r="H96" s="674"/>
      <c r="I96" s="674"/>
      <c r="J96" s="674"/>
      <c r="K96" s="675"/>
      <c r="L96" s="676"/>
      <c r="M96" s="677"/>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064"/>
      <c r="O97" s="2064"/>
      <c r="P97" s="2063"/>
      <c r="Q97" s="2056"/>
      <c r="R97" s="2043"/>
      <c r="S97" s="2043"/>
      <c r="T97" s="2043"/>
      <c r="U97" s="2043"/>
      <c r="V97" s="2043"/>
      <c r="W97" s="2043"/>
      <c r="X97" s="2043"/>
      <c r="Y97" s="2043"/>
      <c r="Z97" s="2043"/>
      <c r="AA97" s="2043"/>
      <c r="AB97" s="2043"/>
      <c r="AC97" s="2043"/>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060"/>
      <c r="O98" s="2060"/>
      <c r="P98" s="2063"/>
      <c r="Q98" s="2056"/>
      <c r="R98" s="1891"/>
      <c r="S98" s="1891"/>
      <c r="T98" s="1891"/>
      <c r="U98" s="1891"/>
      <c r="V98" s="1891"/>
      <c r="W98" s="1891"/>
      <c r="X98" s="1891"/>
      <c r="Y98" s="1891"/>
      <c r="Z98" s="1891"/>
      <c r="AA98" s="1891"/>
      <c r="AB98" s="1891"/>
      <c r="AC98" s="1891"/>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064"/>
      <c r="O99" s="2064"/>
      <c r="P99" s="2063"/>
      <c r="Q99" s="2056"/>
      <c r="R99" s="1891"/>
      <c r="S99" s="1891"/>
      <c r="T99" s="1891"/>
      <c r="U99" s="1891"/>
      <c r="V99" s="1891"/>
      <c r="W99" s="1891"/>
      <c r="X99" s="1891"/>
      <c r="Y99" s="1891"/>
      <c r="Z99" s="1891"/>
      <c r="AA99" s="1891"/>
      <c r="AB99" s="1891"/>
      <c r="AC99" s="1891"/>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060"/>
      <c r="O100" s="2060"/>
      <c r="P100" s="2063"/>
      <c r="Q100" s="2056"/>
      <c r="R100" s="1891"/>
      <c r="S100" s="1891"/>
      <c r="T100" s="1891"/>
      <c r="U100" s="1891"/>
      <c r="V100" s="1891"/>
      <c r="W100" s="1891"/>
      <c r="X100" s="1891"/>
      <c r="Y100" s="1891"/>
      <c r="Z100" s="1891"/>
      <c r="AA100" s="1891"/>
      <c r="AB100" s="1891"/>
      <c r="AC100" s="1891"/>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064"/>
      <c r="O101" s="2064"/>
      <c r="P101" s="2063"/>
      <c r="Q101" s="2056"/>
      <c r="R101" s="1891"/>
      <c r="S101" s="1891"/>
      <c r="T101" s="1891"/>
      <c r="U101" s="1891"/>
      <c r="V101" s="1891"/>
      <c r="W101" s="1891"/>
      <c r="X101" s="1891"/>
      <c r="Y101" s="1891"/>
      <c r="Z101" s="1891"/>
      <c r="AA101" s="1891"/>
      <c r="AB101" s="1891"/>
      <c r="AC101" s="1891"/>
    </row>
    <row r="102" spans="1:29" s="1339" customFormat="1" ht="15.75" thickTop="1">
      <c r="A102" s="687"/>
      <c r="B102" s="1794" t="s">
        <v>2545</v>
      </c>
      <c r="C102" s="703" t="s">
        <v>577</v>
      </c>
      <c r="D102" s="703" t="s">
        <v>578</v>
      </c>
      <c r="E102" s="703" t="s">
        <v>579</v>
      </c>
      <c r="F102" s="703" t="s">
        <v>580</v>
      </c>
      <c r="G102" s="703" t="s">
        <v>581</v>
      </c>
      <c r="H102" s="713"/>
      <c r="I102" s="713"/>
      <c r="J102" s="713"/>
      <c r="K102" s="713"/>
      <c r="L102" s="714"/>
      <c r="M102" s="715"/>
      <c r="N102" s="2065"/>
      <c r="O102" s="2065"/>
      <c r="P102" s="2066"/>
      <c r="Q102" s="2067"/>
      <c r="R102" s="2068"/>
      <c r="S102" s="2068"/>
      <c r="T102" s="2068"/>
      <c r="U102" s="2068"/>
      <c r="V102" s="2068"/>
      <c r="W102" s="2068"/>
      <c r="X102" s="2068"/>
      <c r="Y102" s="2068"/>
      <c r="Z102" s="2068"/>
      <c r="AA102" s="2068"/>
      <c r="AB102" s="2068"/>
      <c r="AC102" s="2068"/>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Top="1">
      <c r="A104" s="687"/>
      <c r="B104" s="2516" t="s">
        <v>2547</v>
      </c>
      <c r="C104" s="2517" t="s">
        <v>2548</v>
      </c>
      <c r="D104" s="2517" t="s">
        <v>2549</v>
      </c>
      <c r="E104" s="2517" t="s">
        <v>2550</v>
      </c>
      <c r="F104" s="2517" t="s">
        <v>2551</v>
      </c>
      <c r="G104" s="2517" t="s">
        <v>2552</v>
      </c>
      <c r="H104" s="713"/>
      <c r="I104" s="713"/>
      <c r="J104" s="713"/>
      <c r="K104" s="713"/>
      <c r="L104" s="713"/>
      <c r="M104" s="715"/>
      <c r="N104" s="2065"/>
      <c r="O104" s="2065"/>
      <c r="P104" s="2066"/>
      <c r="Q104" s="2067"/>
      <c r="R104" s="2068"/>
      <c r="S104" s="2068"/>
      <c r="T104" s="2068"/>
      <c r="U104" s="2068"/>
      <c r="V104" s="2068"/>
      <c r="W104" s="2068"/>
      <c r="X104" s="2068"/>
      <c r="Y104" s="2068"/>
      <c r="Z104" s="2068"/>
      <c r="AA104" s="2068"/>
      <c r="AB104" s="2068"/>
      <c r="AC104" s="2068"/>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09"/>
      <c r="N105" s="2065"/>
      <c r="O105" s="2065"/>
      <c r="P105" s="2066"/>
      <c r="Q105" s="2067"/>
      <c r="R105" s="2068"/>
      <c r="S105" s="2068"/>
      <c r="T105" s="2068"/>
      <c r="U105" s="2068"/>
      <c r="V105" s="2068"/>
      <c r="W105" s="2068"/>
      <c r="X105" s="2068"/>
      <c r="Y105" s="2068"/>
      <c r="Z105" s="2068"/>
      <c r="AA105" s="2068"/>
      <c r="AB105" s="2068"/>
      <c r="AC105" s="2068"/>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062"/>
      <c r="O106" s="2062"/>
      <c r="P106" s="2063"/>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669"/>
      <c r="B108" s="673" t="s">
        <v>546</v>
      </c>
      <c r="C108" s="3306" t="s">
        <v>3176</v>
      </c>
      <c r="D108" s="3306" t="s">
        <v>3177</v>
      </c>
      <c r="E108" s="3306" t="s">
        <v>3178</v>
      </c>
      <c r="F108" s="3306" t="s">
        <v>3179</v>
      </c>
      <c r="G108" s="3306" t="s">
        <v>3181</v>
      </c>
      <c r="H108" s="718"/>
      <c r="I108" s="718"/>
      <c r="J108" s="718"/>
      <c r="K108" s="719"/>
      <c r="L108" s="720"/>
      <c r="M108" s="721"/>
      <c r="N108" s="2062"/>
      <c r="O108" s="2062"/>
      <c r="P108" s="2063"/>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669"/>
      <c r="B110" s="673" t="s">
        <v>547</v>
      </c>
      <c r="C110" s="718"/>
      <c r="D110" s="718"/>
      <c r="E110" s="718"/>
      <c r="F110" s="718"/>
      <c r="G110" s="718"/>
      <c r="H110" s="718"/>
      <c r="I110" s="718"/>
      <c r="J110" s="718"/>
      <c r="K110" s="719"/>
      <c r="L110" s="720"/>
      <c r="M110" s="72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669"/>
      <c r="B112" s="681" t="str">
        <f>B37</f>
        <v>近海距离</v>
      </c>
      <c r="C112" s="3306" t="s">
        <v>3182</v>
      </c>
      <c r="D112" s="3306" t="s">
        <v>3183</v>
      </c>
      <c r="E112" s="688"/>
      <c r="F112" s="688"/>
      <c r="G112" s="722"/>
      <c r="H112" s="722"/>
      <c r="I112" s="722"/>
      <c r="J112" s="722"/>
      <c r="K112" s="723"/>
      <c r="L112" s="724"/>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99"/>
      <c r="C113" s="692">
        <v>100</v>
      </c>
      <c r="D113" s="692">
        <v>90</v>
      </c>
      <c r="E113" s="692"/>
      <c r="F113" s="692"/>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ht="15" hidden="1" thickTop="1">
      <c r="A114" s="587"/>
      <c r="B114" s="673">
        <f>B38</f>
        <v>0</v>
      </c>
      <c r="C114" s="661"/>
      <c r="D114" s="661"/>
      <c r="E114" s="661"/>
      <c r="F114" s="661"/>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hidden="1" thickBot="1">
      <c r="A115" s="669"/>
      <c r="B115" s="678"/>
      <c r="C115" s="700"/>
      <c r="D115" s="700"/>
      <c r="E115" s="700"/>
      <c r="F115" s="700"/>
      <c r="G115" s="671"/>
      <c r="H115" s="671"/>
      <c r="I115" s="671"/>
      <c r="J115" s="671"/>
      <c r="K115" s="671"/>
      <c r="L115" s="671"/>
      <c r="M115" s="672"/>
      <c r="N115" s="2064"/>
      <c r="O115" s="2064"/>
      <c r="P115" s="2063"/>
      <c r="Q115" s="2056"/>
      <c r="R115" s="2043"/>
      <c r="S115" s="2043"/>
      <c r="T115" s="2043"/>
      <c r="U115" s="2043"/>
      <c r="V115" s="2043"/>
      <c r="W115" s="2043"/>
      <c r="X115" s="2043"/>
      <c r="Y115" s="2043"/>
      <c r="Z115" s="2043"/>
      <c r="AA115" s="2043"/>
      <c r="AB115" s="2043"/>
      <c r="AC115" s="2043"/>
    </row>
    <row r="116" spans="1:29" s="1339" customFormat="1" ht="15" hidden="1" thickTop="1">
      <c r="A116" s="728"/>
      <c r="B116" s="729">
        <f>B39</f>
        <v>0</v>
      </c>
      <c r="C116" s="730"/>
      <c r="D116" s="730"/>
      <c r="E116" s="730"/>
      <c r="F116" s="730"/>
      <c r="G116" s="730"/>
      <c r="H116" s="730"/>
      <c r="I116" s="730"/>
      <c r="J116" s="731"/>
      <c r="K116" s="731"/>
      <c r="L116" s="732"/>
      <c r="M116" s="733"/>
      <c r="N116" s="2065"/>
      <c r="O116" s="2065"/>
      <c r="P116" s="2066"/>
      <c r="Q116" s="2067"/>
      <c r="R116" s="2068"/>
      <c r="S116" s="2068"/>
      <c r="T116" s="2068"/>
      <c r="U116" s="2068"/>
      <c r="V116" s="2068"/>
      <c r="W116" s="2068"/>
      <c r="X116" s="2068"/>
      <c r="Y116" s="2068"/>
      <c r="Z116" s="2068"/>
      <c r="AA116" s="2068"/>
      <c r="AB116" s="2068"/>
      <c r="AC116" s="2068"/>
    </row>
    <row r="117" spans="1:29" s="1339" customFormat="1" ht="15.75" hidden="1" thickBot="1">
      <c r="A117" s="687"/>
      <c r="B117" s="681"/>
      <c r="C117" s="650"/>
      <c r="D117" s="592"/>
      <c r="E117" s="592"/>
      <c r="F117" s="592"/>
      <c r="G117" s="592"/>
      <c r="H117" s="592"/>
      <c r="I117" s="592"/>
      <c r="J117" s="592"/>
      <c r="K117" s="592"/>
      <c r="L117" s="592"/>
      <c r="M117" s="734"/>
      <c r="N117" s="2064"/>
      <c r="O117" s="2064"/>
      <c r="P117" s="2066"/>
      <c r="Q117" s="2067"/>
      <c r="R117" s="2068"/>
      <c r="S117" s="2068"/>
      <c r="T117" s="2068"/>
      <c r="U117" s="2068"/>
      <c r="V117" s="2068"/>
      <c r="W117" s="2068"/>
      <c r="X117" s="2068"/>
      <c r="Y117" s="2068"/>
      <c r="Z117" s="2068"/>
      <c r="AA117" s="2068"/>
      <c r="AB117" s="2068"/>
      <c r="AC117" s="2068"/>
    </row>
    <row r="118" spans="1:29" ht="28.5">
      <c r="A118" s="664" t="s">
        <v>549</v>
      </c>
      <c r="B118" s="665" t="s">
        <v>591</v>
      </c>
      <c r="C118" s="704" t="str">
        <f t="shared" ref="C118:L118" si="25">C119&amp;"(含)"&amp;"-"&amp;D119</f>
        <v>10000(含)-20000</v>
      </c>
      <c r="D118" s="704" t="str">
        <f t="shared" si="25"/>
        <v>20000(含)-30000</v>
      </c>
      <c r="E118" s="704" t="str">
        <f t="shared" si="25"/>
        <v>30000(含)-40000</v>
      </c>
      <c r="F118" s="704" t="str">
        <f t="shared" si="25"/>
        <v>40000(含)-50000</v>
      </c>
      <c r="G118" s="704" t="str">
        <f t="shared" si="25"/>
        <v>50000(含)-60000</v>
      </c>
      <c r="H118" s="704" t="str">
        <f t="shared" si="25"/>
        <v>60000(含)-70000</v>
      </c>
      <c r="I118" s="704" t="str">
        <f t="shared" si="25"/>
        <v>70000(含)-80000</v>
      </c>
      <c r="J118" s="3002" t="str">
        <f t="shared" si="25"/>
        <v>80000(含)-90000</v>
      </c>
      <c r="K118" s="3002" t="str">
        <f t="shared" si="25"/>
        <v>90000(含)-</v>
      </c>
      <c r="L118" s="3003" t="str">
        <f t="shared" si="25"/>
        <v>(含)-</v>
      </c>
      <c r="M118" s="3004"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669"/>
      <c r="B119" s="681"/>
      <c r="C119" s="730">
        <v>10000</v>
      </c>
      <c r="D119" s="730">
        <v>20000</v>
      </c>
      <c r="E119" s="730">
        <v>30000</v>
      </c>
      <c r="F119" s="730">
        <v>40000</v>
      </c>
      <c r="G119" s="730">
        <v>50000</v>
      </c>
      <c r="H119" s="730">
        <v>60000</v>
      </c>
      <c r="I119" s="730">
        <v>70000</v>
      </c>
      <c r="J119" s="730">
        <v>80000</v>
      </c>
      <c r="K119" s="730">
        <v>90000</v>
      </c>
      <c r="L119" s="2265"/>
      <c r="M119" s="2266"/>
      <c r="N119" s="2062"/>
      <c r="O119" s="2062"/>
      <c r="P119" s="2063"/>
      <c r="Q119" s="2056"/>
      <c r="R119" s="2043"/>
      <c r="S119" s="2043"/>
      <c r="T119" s="2043"/>
      <c r="U119" s="2043"/>
      <c r="V119" s="2043"/>
      <c r="W119" s="2043"/>
      <c r="X119" s="2043"/>
      <c r="Y119" s="2043"/>
      <c r="Z119" s="2043"/>
      <c r="AA119" s="2043"/>
      <c r="AB119" s="2043"/>
      <c r="AC119" s="2043"/>
    </row>
    <row r="120" spans="1:29" ht="15.75" thickBot="1">
      <c r="A120" s="669"/>
      <c r="B120" s="678"/>
      <c r="C120" s="700">
        <v>100</v>
      </c>
      <c r="D120" s="726">
        <v>101</v>
      </c>
      <c r="E120" s="726">
        <v>102</v>
      </c>
      <c r="F120" s="726">
        <v>103</v>
      </c>
      <c r="G120" s="700">
        <v>104</v>
      </c>
      <c r="H120" s="726">
        <v>105</v>
      </c>
      <c r="I120" s="726">
        <v>106</v>
      </c>
      <c r="J120" s="726">
        <v>107</v>
      </c>
      <c r="K120" s="700">
        <v>108</v>
      </c>
      <c r="L120" s="726"/>
      <c r="M120" s="727"/>
      <c r="N120" s="2064"/>
      <c r="O120" s="2064"/>
      <c r="P120" s="2063"/>
      <c r="Q120" s="2056"/>
      <c r="R120" s="2043"/>
      <c r="S120" s="2043"/>
      <c r="T120" s="2043"/>
      <c r="U120" s="2043"/>
      <c r="V120" s="2043"/>
      <c r="W120" s="2043"/>
      <c r="X120" s="2043"/>
      <c r="Y120" s="2043"/>
      <c r="Z120" s="2043"/>
      <c r="AA120" s="2043"/>
      <c r="AB120" s="2043"/>
      <c r="AC120" s="2043"/>
    </row>
    <row r="121" spans="1:29" ht="15" thickTop="1">
      <c r="A121" s="735"/>
      <c r="B121" s="673" t="s">
        <v>592</v>
      </c>
      <c r="C121" s="3307" t="s">
        <v>3185</v>
      </c>
      <c r="D121" s="3307" t="s">
        <v>3186</v>
      </c>
      <c r="E121" s="718"/>
      <c r="F121" s="718"/>
      <c r="G121" s="718"/>
      <c r="H121" s="718"/>
      <c r="I121" s="718"/>
      <c r="J121" s="718"/>
      <c r="K121" s="719"/>
      <c r="L121" s="720"/>
      <c r="M121" s="721"/>
      <c r="N121" s="2062"/>
      <c r="O121" s="2062"/>
      <c r="P121" s="2063"/>
      <c r="Q121" s="2056"/>
      <c r="R121" s="2043"/>
      <c r="S121" s="2043"/>
      <c r="T121" s="2043"/>
      <c r="U121" s="2043"/>
      <c r="V121" s="2043"/>
      <c r="W121" s="2043"/>
      <c r="X121" s="2043"/>
      <c r="Y121" s="2043"/>
      <c r="Z121" s="2043"/>
      <c r="AA121" s="2043"/>
      <c r="AB121" s="2043"/>
      <c r="AC121" s="204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064"/>
      <c r="O122" s="2064"/>
      <c r="P122" s="2063"/>
      <c r="Q122" s="2056"/>
      <c r="R122" s="2043"/>
      <c r="S122" s="2043"/>
      <c r="T122" s="2043"/>
      <c r="U122" s="2043"/>
      <c r="V122" s="2043"/>
      <c r="W122" s="2043"/>
      <c r="X122" s="2043"/>
      <c r="Y122" s="2043"/>
      <c r="Z122" s="2043"/>
      <c r="AA122" s="2043"/>
      <c r="AB122" s="2043"/>
      <c r="AC122" s="2043"/>
    </row>
    <row r="123" spans="1:29" ht="15" thickTop="1">
      <c r="A123" s="735"/>
      <c r="B123" s="673" t="s">
        <v>593</v>
      </c>
      <c r="C123" s="688"/>
      <c r="D123" s="688"/>
      <c r="E123" s="688"/>
      <c r="F123" s="718"/>
      <c r="G123" s="718"/>
      <c r="H123" s="718"/>
      <c r="I123" s="718"/>
      <c r="J123" s="718"/>
      <c r="K123" s="719"/>
      <c r="L123" s="720"/>
      <c r="M123" s="721"/>
      <c r="N123" s="2062"/>
      <c r="O123" s="2062"/>
      <c r="P123" s="2063"/>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064"/>
      <c r="O124" s="2064"/>
      <c r="P124" s="2063"/>
      <c r="Q124" s="2056"/>
      <c r="R124" s="2043"/>
      <c r="S124" s="2043"/>
      <c r="T124" s="2043"/>
      <c r="U124" s="2043"/>
      <c r="V124" s="2043"/>
      <c r="W124" s="2043"/>
      <c r="X124" s="2043"/>
      <c r="Y124" s="2043"/>
      <c r="Z124" s="2043"/>
      <c r="AA124" s="2043"/>
      <c r="AB124" s="2043"/>
      <c r="AC124" s="2043"/>
    </row>
    <row r="125" spans="1:29" s="1339" customFormat="1" ht="15" thickTop="1">
      <c r="A125" s="728"/>
      <c r="B125" s="1794" t="s">
        <v>2421</v>
      </c>
      <c r="C125" s="1376" t="s">
        <v>3190</v>
      </c>
      <c r="D125" s="1376" t="s">
        <v>3191</v>
      </c>
      <c r="E125" s="1376" t="s">
        <v>3192</v>
      </c>
      <c r="F125" s="1376" t="s">
        <v>3193</v>
      </c>
      <c r="G125" s="1376" t="s">
        <v>3195</v>
      </c>
      <c r="H125" s="718"/>
      <c r="I125" s="718"/>
      <c r="J125" s="718"/>
      <c r="K125" s="719"/>
      <c r="L125" s="720"/>
      <c r="M125" s="721"/>
      <c r="N125" s="2065"/>
      <c r="O125" s="2065"/>
      <c r="P125" s="2066"/>
      <c r="Q125" s="2067"/>
      <c r="R125" s="2068"/>
      <c r="S125" s="2068"/>
      <c r="T125" s="2068"/>
      <c r="U125" s="2068"/>
      <c r="V125" s="2068"/>
      <c r="W125" s="2068"/>
      <c r="X125" s="2068"/>
      <c r="Y125" s="2068"/>
      <c r="Z125" s="2068"/>
      <c r="AA125" s="2068"/>
      <c r="AB125" s="2068"/>
      <c r="AC125" s="206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065"/>
      <c r="O126" s="2065"/>
      <c r="P126" s="2066"/>
      <c r="Q126" s="2067"/>
      <c r="R126" s="2068"/>
      <c r="S126" s="2068"/>
      <c r="T126" s="2068"/>
      <c r="U126" s="2068"/>
      <c r="V126" s="2068"/>
      <c r="W126" s="2068"/>
      <c r="X126" s="2068"/>
      <c r="Y126" s="2068"/>
      <c r="Z126" s="2068"/>
      <c r="AA126" s="2068"/>
      <c r="AB126" s="2068"/>
      <c r="AC126" s="2068"/>
    </row>
    <row r="127" spans="1:29" ht="15" thickTop="1">
      <c r="A127" s="735"/>
      <c r="B127" s="673" t="s">
        <v>594</v>
      </c>
      <c r="C127" s="3306" t="s">
        <v>3188</v>
      </c>
      <c r="D127" s="3306" t="s">
        <v>3189</v>
      </c>
      <c r="E127" s="718"/>
      <c r="F127" s="718"/>
      <c r="G127" s="718"/>
      <c r="H127" s="718"/>
      <c r="I127" s="718"/>
      <c r="J127" s="718"/>
      <c r="K127" s="719"/>
      <c r="L127" s="720"/>
      <c r="M127" s="721"/>
      <c r="N127" s="2062"/>
      <c r="O127" s="2062"/>
      <c r="P127" s="2063"/>
      <c r="Q127" s="2056"/>
      <c r="R127" s="2043"/>
      <c r="S127" s="2043"/>
      <c r="T127" s="2043"/>
      <c r="U127" s="2043"/>
      <c r="V127" s="2043"/>
      <c r="W127" s="2043"/>
      <c r="X127" s="2043"/>
      <c r="Y127" s="2043"/>
      <c r="Z127" s="2043"/>
      <c r="AA127" s="2043"/>
      <c r="AB127" s="2043"/>
      <c r="AC127" s="20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064"/>
      <c r="O128" s="2064"/>
      <c r="P128" s="2063"/>
      <c r="Q128" s="2056"/>
      <c r="R128" s="2043"/>
      <c r="S128" s="2043"/>
      <c r="T128" s="2043"/>
      <c r="U128" s="2043"/>
      <c r="V128" s="2043"/>
      <c r="W128" s="2043"/>
      <c r="X128" s="2043"/>
      <c r="Y128" s="2043"/>
      <c r="Z128" s="2043"/>
      <c r="AA128" s="2043"/>
      <c r="AB128" s="2043"/>
      <c r="AC128" s="2043"/>
    </row>
    <row r="129" spans="1:29" ht="15" thickTop="1">
      <c r="A129" s="735"/>
      <c r="B129" s="673">
        <f>B45</f>
        <v>0</v>
      </c>
      <c r="C129" s="688"/>
      <c r="D129" s="688"/>
      <c r="E129" s="688"/>
      <c r="F129" s="688"/>
      <c r="G129" s="688"/>
      <c r="H129" s="718"/>
      <c r="I129" s="718"/>
      <c r="J129" s="718"/>
      <c r="K129" s="719"/>
      <c r="L129" s="720"/>
      <c r="M129" s="721"/>
      <c r="N129" s="2062"/>
      <c r="O129" s="2062"/>
      <c r="P129" s="2063"/>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063"/>
      <c r="Q130" s="2056"/>
      <c r="R130" s="2043"/>
      <c r="S130" s="2043"/>
      <c r="T130" s="2043"/>
      <c r="U130" s="2043"/>
      <c r="V130" s="2043"/>
      <c r="W130" s="2043"/>
      <c r="X130" s="2043"/>
      <c r="Y130" s="2043"/>
      <c r="Z130" s="2043"/>
      <c r="AA130" s="2043"/>
      <c r="AB130" s="2043"/>
      <c r="AC130" s="2043"/>
    </row>
    <row r="131" spans="1:29" ht="15" thickTop="1">
      <c r="A131" s="735"/>
      <c r="B131" s="673">
        <f>B46</f>
        <v>0</v>
      </c>
      <c r="C131" s="661"/>
      <c r="D131" s="661"/>
      <c r="E131" s="661"/>
      <c r="F131" s="661"/>
      <c r="G131" s="718"/>
      <c r="H131" s="718"/>
      <c r="I131" s="718"/>
      <c r="J131" s="718"/>
      <c r="K131" s="719"/>
      <c r="L131" s="720"/>
      <c r="M131" s="721"/>
      <c r="N131" s="2062"/>
      <c r="O131" s="2062"/>
      <c r="P131" s="2063"/>
      <c r="Q131" s="2056"/>
      <c r="R131" s="2043"/>
      <c r="S131" s="2043"/>
      <c r="T131" s="2043"/>
      <c r="U131" s="2043"/>
      <c r="V131" s="2043"/>
      <c r="W131" s="2043"/>
      <c r="X131" s="2043"/>
      <c r="Y131" s="2043"/>
      <c r="Z131" s="2043"/>
      <c r="AA131" s="2043"/>
      <c r="AB131" s="2043"/>
      <c r="AC131" s="2043"/>
    </row>
    <row r="132" spans="1:29" ht="15.75" thickBot="1">
      <c r="A132" s="669"/>
      <c r="B132" s="678"/>
      <c r="C132" s="700"/>
      <c r="D132" s="700"/>
      <c r="E132" s="700"/>
      <c r="F132" s="700"/>
      <c r="G132" s="671"/>
      <c r="H132" s="671"/>
      <c r="I132" s="671"/>
      <c r="J132" s="671"/>
      <c r="K132" s="671"/>
      <c r="L132" s="671"/>
      <c r="M132" s="672"/>
      <c r="N132" s="2064"/>
      <c r="O132" s="2064"/>
      <c r="P132" s="2063"/>
      <c r="Q132" s="2056"/>
      <c r="R132" s="2043"/>
      <c r="S132" s="2043"/>
      <c r="T132" s="2043"/>
      <c r="U132" s="2043"/>
      <c r="V132" s="2043"/>
      <c r="W132" s="2043"/>
      <c r="X132" s="2043"/>
      <c r="Y132" s="2043"/>
      <c r="Z132" s="2043"/>
      <c r="AA132" s="2043"/>
      <c r="AB132" s="2043"/>
      <c r="AC132" s="2043"/>
    </row>
    <row r="133" spans="1:29" s="1339" customFormat="1" ht="15" thickTop="1">
      <c r="A133" s="728"/>
      <c r="B133" s="673">
        <f>B47</f>
        <v>0</v>
      </c>
      <c r="C133" s="661"/>
      <c r="D133" s="661"/>
      <c r="E133" s="661"/>
      <c r="F133" s="661"/>
      <c r="G133" s="689"/>
      <c r="H133" s="689"/>
      <c r="I133" s="689"/>
      <c r="J133" s="689"/>
      <c r="K133" s="689"/>
      <c r="L133" s="690"/>
      <c r="M133" s="691"/>
      <c r="N133" s="2065"/>
      <c r="O133" s="2065"/>
      <c r="P133" s="2066"/>
      <c r="Q133" s="2067"/>
      <c r="R133" s="2068"/>
      <c r="S133" s="2068"/>
      <c r="T133" s="2068"/>
      <c r="U133" s="2068"/>
      <c r="V133" s="2068"/>
      <c r="W133" s="2068"/>
      <c r="X133" s="2068"/>
      <c r="Y133" s="2068"/>
      <c r="Z133" s="2068"/>
      <c r="AA133" s="2068"/>
      <c r="AB133" s="2068"/>
      <c r="AC133" s="2068"/>
    </row>
    <row r="134" spans="1:29" s="1339" customFormat="1" ht="15.75" thickBot="1">
      <c r="A134" s="698"/>
      <c r="B134" s="736"/>
      <c r="C134" s="700"/>
      <c r="D134" s="700"/>
      <c r="E134" s="700"/>
      <c r="F134" s="700"/>
      <c r="G134" s="726"/>
      <c r="H134" s="726"/>
      <c r="I134" s="726"/>
      <c r="J134" s="726"/>
      <c r="K134" s="726"/>
      <c r="L134" s="726"/>
      <c r="M134" s="727"/>
      <c r="N134" s="2065"/>
      <c r="O134" s="2065"/>
      <c r="P134" s="2066"/>
      <c r="Q134" s="2067"/>
      <c r="R134" s="2068"/>
      <c r="S134" s="2068"/>
      <c r="T134" s="2068"/>
      <c r="U134" s="2068"/>
      <c r="V134" s="2068"/>
      <c r="W134" s="2068"/>
      <c r="X134" s="2068"/>
      <c r="Y134" s="2068"/>
      <c r="Z134" s="2068"/>
      <c r="AA134" s="2068"/>
      <c r="AB134" s="2068"/>
      <c r="AC134" s="2068"/>
    </row>
    <row r="135" spans="1:29" s="1588"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588"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588"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588"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588"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588"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588"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588"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588"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588"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588"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588"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588"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588"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588"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588"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588"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588"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588"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588"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588"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588"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588"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588"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588"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588"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588"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588"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588"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588"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588"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588"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588"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588"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588"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588"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588"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588"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588"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588"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588"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588"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588"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588"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588"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588"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588"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588"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588"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588"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588"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588"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588"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588"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588"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588"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588"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588"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588"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588"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588"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588"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588"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588"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588"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588"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588"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588"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588"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588"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588"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588"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588"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588"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588"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588"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588"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588"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588"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588"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588"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588"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588"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588"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588"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588"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588"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588"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588"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588"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588"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588"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588"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588"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588"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588"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588"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588"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588"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588"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588"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588"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588"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588"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588"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588"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588"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588"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588"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588"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588"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588"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588"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588"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588"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588"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588"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588"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588"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588"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588"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026"/>
      <c r="D2" s="2026"/>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1959"/>
      <c r="D3" s="195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1959"/>
      <c r="D4" s="195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7"/>
      <c r="AC5" s="428"/>
    </row>
    <row r="6" spans="1:29" ht="15">
      <c r="A6" s="512" t="s">
        <v>519</v>
      </c>
      <c r="B6" s="513"/>
      <c r="C6" s="3556" t="s">
        <v>520</v>
      </c>
      <c r="D6" s="3557"/>
      <c r="E6" s="3579" t="s">
        <v>521</v>
      </c>
      <c r="F6" s="3580"/>
      <c r="G6" s="3556" t="s">
        <v>522</v>
      </c>
      <c r="H6" s="3557"/>
      <c r="I6" s="3556" t="s">
        <v>523</v>
      </c>
      <c r="J6" s="3557"/>
      <c r="K6" s="514" t="s">
        <v>524</v>
      </c>
      <c r="L6" s="2031"/>
      <c r="M6" s="2032"/>
      <c r="N6" s="2032"/>
      <c r="O6" s="2032"/>
      <c r="P6" s="3558" t="s">
        <v>525</v>
      </c>
      <c r="Q6" s="3559"/>
      <c r="R6" s="3544" t="s">
        <v>521</v>
      </c>
      <c r="S6" s="3545"/>
      <c r="T6" s="3544" t="s">
        <v>522</v>
      </c>
      <c r="U6" s="3545"/>
      <c r="V6" s="3564" t="s">
        <v>523</v>
      </c>
      <c r="W6" s="3564"/>
      <c r="X6" s="1568"/>
      <c r="Y6" s="3544" t="s">
        <v>525</v>
      </c>
      <c r="Z6" s="3545"/>
      <c r="AA6" s="3539" t="s">
        <v>521</v>
      </c>
      <c r="AB6" s="3540" t="s">
        <v>522</v>
      </c>
      <c r="AC6" s="3539" t="s">
        <v>523</v>
      </c>
    </row>
    <row r="7" spans="1:29" ht="15">
      <c r="A7" s="515"/>
      <c r="B7" s="516"/>
      <c r="C7" s="3583" t="s">
        <v>2916</v>
      </c>
      <c r="D7" s="3568"/>
      <c r="E7" s="3581" t="s">
        <v>2917</v>
      </c>
      <c r="F7" s="3582"/>
      <c r="G7" s="3583" t="s">
        <v>2918</v>
      </c>
      <c r="H7" s="3568"/>
      <c r="I7" s="3583" t="s">
        <v>2919</v>
      </c>
      <c r="J7" s="3568"/>
      <c r="K7" s="514"/>
      <c r="L7" s="2031"/>
      <c r="M7" s="2032"/>
      <c r="N7" s="2032"/>
      <c r="O7" s="2032"/>
      <c r="P7" s="3560"/>
      <c r="Q7" s="3561"/>
      <c r="R7" s="3546"/>
      <c r="S7" s="3547"/>
      <c r="T7" s="3546"/>
      <c r="U7" s="3547"/>
      <c r="V7" s="3564"/>
      <c r="W7" s="3564"/>
      <c r="X7" s="1568"/>
      <c r="Y7" s="3546"/>
      <c r="Z7" s="3547"/>
      <c r="AA7" s="3540"/>
      <c r="AB7" s="3540"/>
      <c r="AC7" s="3540"/>
    </row>
    <row r="8" spans="1:29" ht="15.75" thickBot="1">
      <c r="A8" s="517"/>
      <c r="B8" s="518"/>
      <c r="C8" s="3584" t="s">
        <v>2920</v>
      </c>
      <c r="D8" s="3585"/>
      <c r="E8" s="3586" t="s">
        <v>2920</v>
      </c>
      <c r="F8" s="3587"/>
      <c r="G8" s="3584" t="s">
        <v>2920</v>
      </c>
      <c r="H8" s="3585"/>
      <c r="I8" s="3584" t="s">
        <v>2920</v>
      </c>
      <c r="J8" s="3585"/>
      <c r="K8" s="514" t="s">
        <v>526</v>
      </c>
      <c r="L8" s="2031"/>
      <c r="M8" s="2032"/>
      <c r="N8" s="2032"/>
      <c r="O8" s="2032"/>
      <c r="P8" s="3562"/>
      <c r="Q8" s="3563"/>
      <c r="R8" s="3546"/>
      <c r="S8" s="3547"/>
      <c r="T8" s="3548"/>
      <c r="U8" s="3549"/>
      <c r="V8" s="3564"/>
      <c r="W8" s="3564"/>
      <c r="X8" s="1568"/>
      <c r="Y8" s="3548"/>
      <c r="Z8" s="3549"/>
      <c r="AA8" s="3541"/>
      <c r="AB8" s="3541"/>
      <c r="AC8" s="3541"/>
    </row>
    <row r="9" spans="1:29" s="1220" customFormat="1" ht="15.75" thickBot="1">
      <c r="A9" s="2827"/>
      <c r="B9" s="2834" t="s">
        <v>527</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033"/>
      <c r="M9" s="2034"/>
      <c r="N9" s="2034"/>
      <c r="O9" s="2034"/>
      <c r="P9" s="3542" t="s">
        <v>528</v>
      </c>
      <c r="Q9" s="3551"/>
      <c r="R9" s="1569" t="s">
        <v>8</v>
      </c>
      <c r="S9" s="1570">
        <f t="shared" ref="S9:S17" si="0">F9</f>
        <v>0</v>
      </c>
      <c r="T9" s="1569" t="s">
        <v>8</v>
      </c>
      <c r="U9" s="1570">
        <f t="shared" ref="U9:U17" si="1">H9</f>
        <v>0</v>
      </c>
      <c r="V9" s="1569" t="s">
        <v>8</v>
      </c>
      <c r="W9" s="1570">
        <f t="shared" ref="W9:W17" si="2">J9</f>
        <v>0</v>
      </c>
      <c r="X9" s="1571"/>
      <c r="Y9" s="3542" t="s">
        <v>528</v>
      </c>
      <c r="Z9" s="3543"/>
      <c r="AA9" s="1572" t="e">
        <f>D9/F9</f>
        <v>#DIV/0!</v>
      </c>
      <c r="AB9" s="1572" t="e">
        <f>D9/H9</f>
        <v>#DIV/0!</v>
      </c>
      <c r="AC9" s="1572" t="e">
        <f>D9/J9</f>
        <v>#DIV/0!</v>
      </c>
    </row>
    <row r="10" spans="1:29" s="1220" customFormat="1" ht="15.75" thickBot="1">
      <c r="A10" s="2828"/>
      <c r="B10" s="2835"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033"/>
      <c r="M10" s="2034"/>
      <c r="N10" s="2034"/>
      <c r="O10" s="2034"/>
      <c r="P10" s="3542" t="s">
        <v>531</v>
      </c>
      <c r="Q10" s="3543"/>
      <c r="R10" s="1569" t="s">
        <v>8</v>
      </c>
      <c r="S10" s="1570">
        <f t="shared" si="0"/>
        <v>0</v>
      </c>
      <c r="T10" s="1569" t="s">
        <v>8</v>
      </c>
      <c r="U10" s="1570">
        <f t="shared" si="1"/>
        <v>0</v>
      </c>
      <c r="V10" s="1569" t="s">
        <v>8</v>
      </c>
      <c r="W10" s="1570">
        <f t="shared" si="2"/>
        <v>0</v>
      </c>
      <c r="X10" s="1571"/>
      <c r="Y10" s="3542" t="s">
        <v>531</v>
      </c>
      <c r="Z10" s="3543"/>
      <c r="AA10" s="1572" t="e">
        <f t="shared" ref="AA10:AA42" si="3">D10/F10</f>
        <v>#DIV/0!</v>
      </c>
      <c r="AB10" s="1572" t="e">
        <f t="shared" ref="AB10:AB42" si="4">D10/H10</f>
        <v>#DIV/0!</v>
      </c>
      <c r="AC10" s="1572" t="e">
        <f t="shared" ref="AC10:AC42" si="5">D10/J10</f>
        <v>#DIV/0!</v>
      </c>
    </row>
    <row r="11" spans="1:29" s="1220" customFormat="1" ht="15">
      <c r="A11" s="2829"/>
      <c r="B11" s="2836" t="s">
        <v>2755</v>
      </c>
      <c r="C11" s="526"/>
      <c r="D11" s="254">
        <v>100</v>
      </c>
      <c r="E11" s="526"/>
      <c r="F11" s="254">
        <f>SUMIF(72:72,E11,73:73)-SUMIF(72:72,C11,73:73)+100</f>
        <v>100</v>
      </c>
      <c r="G11" s="526"/>
      <c r="H11" s="254">
        <f>SUMIF(72:72,G11,73:73)-SUMIF(72:72,C11,73:73)+100</f>
        <v>100</v>
      </c>
      <c r="I11" s="526"/>
      <c r="J11" s="254">
        <f>SUMIF(72:72,I11,73:73)-SUMIF(72:72,C11,73:73)+100</f>
        <v>100</v>
      </c>
      <c r="K11" s="524"/>
      <c r="L11" s="2033"/>
      <c r="M11" s="2034"/>
      <c r="N11" s="2034"/>
      <c r="O11" s="2035"/>
      <c r="P11" s="3550" t="s">
        <v>533</v>
      </c>
      <c r="Q11" s="1151" t="str">
        <f t="shared" ref="Q11:Q17" si="6">B11</f>
        <v>用途</v>
      </c>
      <c r="R11" s="1569" t="s">
        <v>8</v>
      </c>
      <c r="S11" s="1570">
        <f t="shared" si="0"/>
        <v>100</v>
      </c>
      <c r="T11" s="1569" t="s">
        <v>8</v>
      </c>
      <c r="U11" s="1570">
        <f t="shared" si="1"/>
        <v>100</v>
      </c>
      <c r="V11" s="1569" t="s">
        <v>8</v>
      </c>
      <c r="W11" s="1570">
        <f t="shared" si="2"/>
        <v>100</v>
      </c>
      <c r="X11" s="1571"/>
      <c r="Y11" s="3507" t="s">
        <v>534</v>
      </c>
      <c r="Z11" s="1150" t="str">
        <f t="shared" ref="Z11:Z17" si="7">Q11</f>
        <v>用途</v>
      </c>
      <c r="AA11" s="1572">
        <f t="shared" si="3"/>
        <v>1</v>
      </c>
      <c r="AB11" s="1572">
        <f t="shared" si="4"/>
        <v>1</v>
      </c>
      <c r="AC11" s="1572">
        <f t="shared" si="5"/>
        <v>1</v>
      </c>
    </row>
    <row r="12" spans="1:29" s="1338" customFormat="1" ht="27">
      <c r="A12" s="2830"/>
      <c r="B12" s="2835" t="s">
        <v>2756</v>
      </c>
      <c r="C12" s="528"/>
      <c r="D12" s="255">
        <v>100</v>
      </c>
      <c r="E12" s="528"/>
      <c r="F12" s="255">
        <f>ROUND(100/'数据-取费表'!G16,0)</f>
        <v>102</v>
      </c>
      <c r="G12" s="528"/>
      <c r="H12" s="255">
        <f>ROUND(100/'数据-取费表'!G16,0)</f>
        <v>102</v>
      </c>
      <c r="I12" s="528"/>
      <c r="J12" s="255">
        <f>ROUND(100/'数据-取费表'!G16,0)</f>
        <v>102</v>
      </c>
      <c r="K12" s="531"/>
      <c r="L12" s="2036"/>
      <c r="M12" s="2076"/>
      <c r="N12" s="2076"/>
      <c r="O12" s="2037"/>
      <c r="P12" s="3550"/>
      <c r="Q12" s="1151" t="str">
        <f t="shared" si="6"/>
        <v>土地使用年限（年）</v>
      </c>
      <c r="R12" s="1569" t="s">
        <v>8</v>
      </c>
      <c r="S12" s="1570">
        <f t="shared" si="0"/>
        <v>102</v>
      </c>
      <c r="T12" s="1569" t="s">
        <v>8</v>
      </c>
      <c r="U12" s="1570">
        <f t="shared" si="1"/>
        <v>102</v>
      </c>
      <c r="V12" s="1569" t="s">
        <v>8</v>
      </c>
      <c r="W12" s="1570">
        <f t="shared" si="2"/>
        <v>102</v>
      </c>
      <c r="X12" s="1571"/>
      <c r="Y12" s="3507"/>
      <c r="Z12" s="1150" t="str">
        <f t="shared" si="7"/>
        <v>土地使用年限（年）</v>
      </c>
      <c r="AA12" s="1572">
        <f t="shared" si="3"/>
        <v>0.98039215686274506</v>
      </c>
      <c r="AB12" s="1572">
        <f t="shared" si="4"/>
        <v>0.98039215686274506</v>
      </c>
      <c r="AC12" s="1572">
        <f t="shared" si="5"/>
        <v>0.98039215686274506</v>
      </c>
    </row>
    <row r="13" spans="1:29" ht="15">
      <c r="A13" s="2831"/>
      <c r="B13" s="283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038"/>
      <c r="M13" s="2032"/>
      <c r="N13" s="2032"/>
      <c r="O13" s="2039"/>
      <c r="P13" s="3550"/>
      <c r="Q13" s="1151" t="str">
        <f t="shared" si="6"/>
        <v>容积率</v>
      </c>
      <c r="R13" s="1569" t="s">
        <v>8</v>
      </c>
      <c r="S13" s="1570" t="e">
        <f t="shared" si="0"/>
        <v>#N/A</v>
      </c>
      <c r="T13" s="1569" t="s">
        <v>8</v>
      </c>
      <c r="U13" s="1570" t="e">
        <f t="shared" si="1"/>
        <v>#N/A</v>
      </c>
      <c r="V13" s="1569" t="s">
        <v>8</v>
      </c>
      <c r="W13" s="1570" t="e">
        <f t="shared" si="2"/>
        <v>#N/A</v>
      </c>
      <c r="X13" s="1571"/>
      <c r="Y13" s="3507"/>
      <c r="Z13" s="1150" t="str">
        <f t="shared" si="7"/>
        <v>容积率</v>
      </c>
      <c r="AA13" s="1572" t="e">
        <f t="shared" si="3"/>
        <v>#N/A</v>
      </c>
      <c r="AB13" s="1572" t="e">
        <f t="shared" si="4"/>
        <v>#N/A</v>
      </c>
      <c r="AC13" s="1572" t="e">
        <f t="shared" si="5"/>
        <v>#N/A</v>
      </c>
    </row>
    <row r="14" spans="1:29" s="1220" customFormat="1" ht="15">
      <c r="A14" s="2832"/>
      <c r="B14" s="2838">
        <v>111</v>
      </c>
      <c r="C14" s="528"/>
      <c r="D14" s="538">
        <v>100</v>
      </c>
      <c r="E14" s="541"/>
      <c r="F14" s="255">
        <f>SUMIF(79:79,E14,80:80)-SUMIF(79:79,C14,80:80)+100</f>
        <v>100</v>
      </c>
      <c r="G14" s="542"/>
      <c r="H14" s="255">
        <f>SUMIF(79:79,G14,80:80)-SUMIF(79:79,C14,80:80)+100</f>
        <v>100</v>
      </c>
      <c r="I14" s="541"/>
      <c r="J14" s="255">
        <f>SUMIF(79:79,I14,80:80)-SUMIF(79:79,C14,80:80)+100</f>
        <v>100</v>
      </c>
      <c r="K14" s="531"/>
      <c r="L14" s="2033"/>
      <c r="M14" s="2034"/>
      <c r="N14" s="2034"/>
      <c r="O14" s="2035"/>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D14/F14</f>
        <v>1</v>
      </c>
      <c r="AB14" s="1572">
        <f>D14/H14</f>
        <v>1</v>
      </c>
      <c r="AC14" s="1572">
        <f>D14/J14</f>
        <v>1</v>
      </c>
    </row>
    <row r="15" spans="1:29" ht="15">
      <c r="A15" s="2832"/>
      <c r="B15" s="2838">
        <v>111</v>
      </c>
      <c r="C15" s="539"/>
      <c r="D15" s="540">
        <v>100</v>
      </c>
      <c r="E15" s="541"/>
      <c r="F15" s="255">
        <f>SUMIF(81:81,E15,82:82)-SUMIF(81:81,C15,82:82)+100</f>
        <v>100</v>
      </c>
      <c r="G15" s="542"/>
      <c r="H15" s="540">
        <f>SUMIF(81:81,G15,82:82)-SUMIF(81:81,C15,82:82)+100</f>
        <v>100</v>
      </c>
      <c r="I15" s="541"/>
      <c r="J15" s="540">
        <f>SUMIF(81:81,I15,82:82)-SUMIF(81:81,C15,82:82)+100</f>
        <v>100</v>
      </c>
      <c r="K15" s="531"/>
      <c r="L15" s="2040"/>
      <c r="M15" s="2032"/>
      <c r="N15" s="2032"/>
      <c r="O15" s="2039"/>
      <c r="P15" s="3550"/>
      <c r="Q15" s="1151">
        <f t="shared" si="6"/>
        <v>111</v>
      </c>
      <c r="R15" s="1569" t="s">
        <v>8</v>
      </c>
      <c r="S15" s="1570">
        <f t="shared" si="0"/>
        <v>100</v>
      </c>
      <c r="T15" s="1569" t="s">
        <v>8</v>
      </c>
      <c r="U15" s="1570">
        <f t="shared" si="1"/>
        <v>100</v>
      </c>
      <c r="V15" s="1569" t="s">
        <v>8</v>
      </c>
      <c r="W15" s="1570">
        <f t="shared" si="2"/>
        <v>100</v>
      </c>
      <c r="X15" s="1571"/>
      <c r="Y15" s="3507"/>
      <c r="Z15" s="1150">
        <f t="shared" si="7"/>
        <v>111</v>
      </c>
      <c r="AA15" s="1572">
        <f t="shared" si="3"/>
        <v>1</v>
      </c>
      <c r="AB15" s="1572">
        <f t="shared" si="4"/>
        <v>1</v>
      </c>
      <c r="AC15" s="1572">
        <f t="shared" si="5"/>
        <v>1</v>
      </c>
    </row>
    <row r="16" spans="1:29" ht="15.75" thickBot="1">
      <c r="A16" s="2833"/>
      <c r="B16" s="2839">
        <v>111</v>
      </c>
      <c r="C16" s="545"/>
      <c r="D16" s="546">
        <v>100</v>
      </c>
      <c r="E16" s="541"/>
      <c r="F16" s="546">
        <f>SUMIF(83:83,E16,84:84)-SUMIF(83:83,C16,84:84)+100</f>
        <v>100</v>
      </c>
      <c r="G16" s="542"/>
      <c r="H16" s="546">
        <f>SUMIF(83:83,G16,84:84)-SUMIF(83:83,C16,84:84)+100</f>
        <v>100</v>
      </c>
      <c r="I16" s="541"/>
      <c r="J16" s="546">
        <f>SUMIF(83:83,I16,84:84)-SUMIF(83:83,C16,84:84)+100</f>
        <v>100</v>
      </c>
      <c r="K16" s="531"/>
      <c r="L16" s="2040"/>
      <c r="M16" s="2032"/>
      <c r="N16" s="2032"/>
      <c r="O16" s="2039"/>
      <c r="P16" s="3550"/>
      <c r="Q16" s="1151">
        <f t="shared" si="6"/>
        <v>111</v>
      </c>
      <c r="R16" s="1569" t="s">
        <v>8</v>
      </c>
      <c r="S16" s="1570">
        <f t="shared" si="0"/>
        <v>100</v>
      </c>
      <c r="T16" s="1569" t="s">
        <v>8</v>
      </c>
      <c r="U16" s="1570">
        <f t="shared" si="1"/>
        <v>100</v>
      </c>
      <c r="V16" s="1569" t="s">
        <v>8</v>
      </c>
      <c r="W16" s="1570">
        <f t="shared" si="2"/>
        <v>100</v>
      </c>
      <c r="X16" s="1571"/>
      <c r="Y16" s="3507"/>
      <c r="Z16" s="1150">
        <f t="shared" si="7"/>
        <v>111</v>
      </c>
      <c r="AA16" s="1572">
        <f t="shared" si="3"/>
        <v>1</v>
      </c>
      <c r="AB16" s="1572">
        <f t="shared" si="4"/>
        <v>1</v>
      </c>
      <c r="AC16" s="1572">
        <f t="shared" si="5"/>
        <v>1</v>
      </c>
    </row>
    <row r="17" spans="1:29" ht="15">
      <c r="A17" s="2825" t="s">
        <v>2753</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040"/>
      <c r="M17" s="2032"/>
      <c r="N17" s="2032"/>
      <c r="O17" s="2039"/>
      <c r="P17" s="3552" t="s">
        <v>538</v>
      </c>
      <c r="Q17" s="1573" t="str">
        <f t="shared" si="6"/>
        <v>产业集聚程度</v>
      </c>
      <c r="R17" s="1574" t="s">
        <v>8</v>
      </c>
      <c r="S17" s="1575">
        <f t="shared" si="0"/>
        <v>100</v>
      </c>
      <c r="T17" s="1574" t="s">
        <v>8</v>
      </c>
      <c r="U17" s="1575">
        <f t="shared" si="1"/>
        <v>100</v>
      </c>
      <c r="V17" s="1574" t="s">
        <v>8</v>
      </c>
      <c r="W17" s="1575">
        <f t="shared" si="2"/>
        <v>100</v>
      </c>
      <c r="X17" s="1568"/>
      <c r="Y17" s="3552"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040"/>
      <c r="M19" s="2032"/>
      <c r="N19" s="2032"/>
      <c r="O19" s="2039"/>
      <c r="P19" s="3553"/>
      <c r="Q19" s="1573" t="str">
        <f>B19</f>
        <v>交通便捷度</v>
      </c>
      <c r="R19" s="1574" t="s">
        <v>8</v>
      </c>
      <c r="S19" s="1575">
        <f>F19</f>
        <v>100</v>
      </c>
      <c r="T19" s="1574" t="s">
        <v>8</v>
      </c>
      <c r="U19" s="1575">
        <f>H19</f>
        <v>100</v>
      </c>
      <c r="V19" s="1574" t="s">
        <v>8</v>
      </c>
      <c r="W19" s="1575">
        <f>J19</f>
        <v>100</v>
      </c>
      <c r="X19" s="1568"/>
      <c r="Y19" s="355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040"/>
      <c r="M20" s="2032"/>
      <c r="N20" s="2032"/>
      <c r="O20" s="2039"/>
      <c r="P20" s="3553"/>
      <c r="Q20" s="1573"/>
      <c r="R20" s="1574"/>
      <c r="S20" s="1575"/>
      <c r="T20" s="1574"/>
      <c r="U20" s="1575"/>
      <c r="V20" s="1574"/>
      <c r="W20" s="1575"/>
      <c r="X20" s="1568"/>
      <c r="Y20" s="3553"/>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040"/>
      <c r="M21" s="2032"/>
      <c r="N21" s="2032"/>
      <c r="O21" s="2039"/>
      <c r="P21" s="3553"/>
      <c r="Q21" s="1573" t="str">
        <f t="shared" ref="Q21:Q35" si="8">B21</f>
        <v>区域土地利用方向</v>
      </c>
      <c r="R21" s="1574" t="s">
        <v>8</v>
      </c>
      <c r="S21" s="1575">
        <f>F21</f>
        <v>100</v>
      </c>
      <c r="T21" s="1574" t="s">
        <v>8</v>
      </c>
      <c r="U21" s="1575">
        <f>H21</f>
        <v>100</v>
      </c>
      <c r="V21" s="1574" t="s">
        <v>8</v>
      </c>
      <c r="W21" s="1575">
        <f>J21</f>
        <v>100</v>
      </c>
      <c r="X21" s="1568"/>
      <c r="Y21" s="355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040"/>
      <c r="M22" s="2032"/>
      <c r="N22" s="2032"/>
      <c r="O22" s="2039"/>
      <c r="P22" s="3553"/>
      <c r="Q22" s="1573"/>
      <c r="R22" s="1574"/>
      <c r="S22" s="1575"/>
      <c r="T22" s="1574"/>
      <c r="U22" s="1575"/>
      <c r="V22" s="1574"/>
      <c r="W22" s="1575"/>
      <c r="X22" s="1568"/>
      <c r="Y22" s="3553"/>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040"/>
      <c r="M23" s="2032"/>
      <c r="N23" s="2032"/>
      <c r="O23" s="2039"/>
      <c r="P23" s="3553"/>
      <c r="Q23" s="1573" t="str">
        <f t="shared" si="8"/>
        <v>环境状况</v>
      </c>
      <c r="R23" s="1574" t="s">
        <v>8</v>
      </c>
      <c r="S23" s="1575">
        <f>F23</f>
        <v>100</v>
      </c>
      <c r="T23" s="1574" t="s">
        <v>8</v>
      </c>
      <c r="U23" s="1575">
        <f>H23</f>
        <v>100</v>
      </c>
      <c r="V23" s="1574" t="s">
        <v>8</v>
      </c>
      <c r="W23" s="1575">
        <f>J23</f>
        <v>100</v>
      </c>
      <c r="X23" s="1568"/>
      <c r="Y23" s="355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040"/>
      <c r="M24" s="2032"/>
      <c r="N24" s="2032"/>
      <c r="O24" s="2039"/>
      <c r="P24" s="3553"/>
      <c r="Q24" s="1573"/>
      <c r="R24" s="1574"/>
      <c r="S24" s="1575"/>
      <c r="T24" s="1574"/>
      <c r="U24" s="1575"/>
      <c r="V24" s="1574"/>
      <c r="W24" s="1575"/>
      <c r="X24" s="1568"/>
      <c r="Y24" s="3553"/>
      <c r="Z24" s="1576"/>
      <c r="AA24" s="1577">
        <v>1</v>
      </c>
      <c r="AB24" s="1577">
        <v>1</v>
      </c>
      <c r="AC24" s="1577">
        <v>1</v>
      </c>
    </row>
    <row r="25" spans="1:29" s="1220" customFormat="1" ht="15">
      <c r="A25" s="577"/>
      <c r="B25" s="251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033"/>
      <c r="M25" s="2034"/>
      <c r="N25" s="2034"/>
      <c r="O25" s="2035"/>
      <c r="P25" s="3553"/>
      <c r="Q25" s="1151" t="str">
        <f t="shared" si="8"/>
        <v>公共配套设施</v>
      </c>
      <c r="R25" s="1569" t="s">
        <v>8</v>
      </c>
      <c r="S25" s="1570">
        <f>F25</f>
        <v>100</v>
      </c>
      <c r="T25" s="1569" t="s">
        <v>8</v>
      </c>
      <c r="U25" s="1570">
        <f>H25</f>
        <v>100</v>
      </c>
      <c r="V25" s="1569" t="s">
        <v>8</v>
      </c>
      <c r="W25" s="1570">
        <f>J25</f>
        <v>100</v>
      </c>
      <c r="X25" s="1571"/>
      <c r="Y25" s="3553"/>
      <c r="Z25" s="1150" t="str">
        <f>Q25</f>
        <v>公共配套设施</v>
      </c>
      <c r="AA25" s="1577">
        <f>D25/F25</f>
        <v>1</v>
      </c>
      <c r="AB25" s="1577">
        <f>D25/H25</f>
        <v>1</v>
      </c>
      <c r="AC25" s="1577">
        <f>D25/J25</f>
        <v>1</v>
      </c>
    </row>
    <row r="26" spans="1:29" s="1220" customFormat="1" ht="15">
      <c r="A26" s="577"/>
      <c r="B26" s="595"/>
      <c r="C26" s="2511"/>
      <c r="D26" s="555"/>
      <c r="E26" s="554"/>
      <c r="F26" s="555"/>
      <c r="G26" s="554"/>
      <c r="H26" s="555"/>
      <c r="I26" s="576"/>
      <c r="J26" s="555"/>
      <c r="K26" s="531"/>
      <c r="L26" s="2033"/>
      <c r="M26" s="2034"/>
      <c r="N26" s="2034"/>
      <c r="O26" s="2035"/>
      <c r="P26" s="3553"/>
      <c r="Q26" s="1151"/>
      <c r="R26" s="1569"/>
      <c r="S26" s="1570"/>
      <c r="T26" s="1569"/>
      <c r="U26" s="1570"/>
      <c r="V26" s="1569"/>
      <c r="W26" s="1570"/>
      <c r="X26" s="1571"/>
      <c r="Y26" s="3553"/>
      <c r="Z26" s="1150"/>
      <c r="AA26" s="1572">
        <v>1</v>
      </c>
      <c r="AB26" s="1572">
        <v>1</v>
      </c>
      <c r="AC26" s="1572">
        <v>1</v>
      </c>
    </row>
    <row r="27" spans="1:29" s="1220" customFormat="1" ht="15">
      <c r="A27" s="577"/>
      <c r="B27" s="251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033"/>
      <c r="M27" s="2034"/>
      <c r="N27" s="2034"/>
      <c r="O27" s="2035"/>
      <c r="P27" s="3553"/>
      <c r="Q27" s="2497" t="str">
        <f t="shared" ref="Q27" si="9">B27</f>
        <v>基础设施水平</v>
      </c>
      <c r="R27" s="1569" t="s">
        <v>8</v>
      </c>
      <c r="S27" s="1570">
        <f>F27</f>
        <v>100</v>
      </c>
      <c r="T27" s="1569" t="s">
        <v>8</v>
      </c>
      <c r="U27" s="1570">
        <f>H27</f>
        <v>100</v>
      </c>
      <c r="V27" s="1569" t="s">
        <v>8</v>
      </c>
      <c r="W27" s="1570">
        <f>J27</f>
        <v>100</v>
      </c>
      <c r="X27" s="1571"/>
      <c r="Y27" s="3553"/>
      <c r="Z27" s="2494" t="str">
        <f>Q27</f>
        <v>基础设施水平</v>
      </c>
      <c r="AA27" s="1577">
        <f>D27/F27</f>
        <v>1</v>
      </c>
      <c r="AB27" s="1577">
        <f>D27/H27</f>
        <v>1</v>
      </c>
      <c r="AC27" s="1577">
        <f>D27/J27</f>
        <v>1</v>
      </c>
    </row>
    <row r="28" spans="1:29" s="1220" customFormat="1" ht="15">
      <c r="A28" s="577"/>
      <c r="B28" s="595"/>
      <c r="C28" s="2511"/>
      <c r="D28" s="555"/>
      <c r="E28" s="579"/>
      <c r="F28" s="555"/>
      <c r="G28" s="579"/>
      <c r="H28" s="555"/>
      <c r="I28" s="579"/>
      <c r="J28" s="555"/>
      <c r="K28" s="531"/>
      <c r="L28" s="2033"/>
      <c r="M28" s="2034"/>
      <c r="N28" s="2034"/>
      <c r="O28" s="2035"/>
      <c r="P28" s="3553"/>
      <c r="Q28" s="2497"/>
      <c r="R28" s="1569"/>
      <c r="S28" s="1570"/>
      <c r="T28" s="1569"/>
      <c r="U28" s="1570"/>
      <c r="V28" s="1569"/>
      <c r="W28" s="1570"/>
      <c r="X28" s="1571"/>
      <c r="Y28" s="3553"/>
      <c r="Z28" s="249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040"/>
      <c r="M29" s="2032"/>
      <c r="N29" s="2032"/>
      <c r="O29" s="2039"/>
      <c r="P29" s="355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53"/>
      <c r="Z29" s="1576" t="str">
        <f t="shared" ref="Z29:Z42" si="13">Q29</f>
        <v>临街状况</v>
      </c>
      <c r="AA29" s="1577">
        <f t="shared" si="3"/>
        <v>1</v>
      </c>
      <c r="AB29" s="1577">
        <f t="shared" si="4"/>
        <v>1</v>
      </c>
      <c r="AC29" s="1577">
        <f t="shared" si="5"/>
        <v>1</v>
      </c>
    </row>
    <row r="30" spans="1:29" ht="27">
      <c r="A30" s="532"/>
      <c r="B30" s="922" t="s">
        <v>546</v>
      </c>
      <c r="C30" s="251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040"/>
      <c r="M30" s="2032"/>
      <c r="N30" s="2032"/>
      <c r="O30" s="2039"/>
      <c r="P30" s="3553"/>
      <c r="Q30" s="1573" t="str">
        <f t="shared" si="8"/>
        <v>毗邻道路的类型与等级</v>
      </c>
      <c r="R30" s="1574" t="s">
        <v>8</v>
      </c>
      <c r="S30" s="1575">
        <f t="shared" si="10"/>
        <v>100</v>
      </c>
      <c r="T30" s="1574" t="s">
        <v>8</v>
      </c>
      <c r="U30" s="1575">
        <f t="shared" si="11"/>
        <v>100</v>
      </c>
      <c r="V30" s="1574" t="s">
        <v>8</v>
      </c>
      <c r="W30" s="1575">
        <f t="shared" si="12"/>
        <v>100</v>
      </c>
      <c r="X30" s="1568"/>
      <c r="Y30" s="355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040"/>
      <c r="M31" s="2032"/>
      <c r="N31" s="2032"/>
      <c r="O31" s="2039"/>
      <c r="P31" s="3553"/>
      <c r="Q31" s="1573"/>
      <c r="R31" s="1574"/>
      <c r="S31" s="1575"/>
      <c r="T31" s="1574"/>
      <c r="U31" s="1575"/>
      <c r="V31" s="1574"/>
      <c r="W31" s="1575"/>
      <c r="X31" s="1568"/>
      <c r="Y31" s="3553"/>
      <c r="Z31" s="1576"/>
      <c r="AA31" s="1577">
        <v>1</v>
      </c>
      <c r="AB31" s="1577">
        <v>1</v>
      </c>
      <c r="AC31" s="1577">
        <v>1</v>
      </c>
    </row>
    <row r="32" spans="1:29" ht="15">
      <c r="A32" s="532"/>
      <c r="B32" s="527" t="s">
        <v>547</v>
      </c>
      <c r="C32" s="251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040"/>
      <c r="M32" s="2032"/>
      <c r="N32" s="2032"/>
      <c r="O32" s="2039"/>
      <c r="P32" s="3553"/>
      <c r="Q32" s="1573" t="str">
        <f t="shared" si="8"/>
        <v>土地级别</v>
      </c>
      <c r="R32" s="1574" t="s">
        <v>8</v>
      </c>
      <c r="S32" s="1575">
        <f t="shared" si="10"/>
        <v>100</v>
      </c>
      <c r="T32" s="1574" t="s">
        <v>8</v>
      </c>
      <c r="U32" s="1575">
        <f t="shared" si="11"/>
        <v>100</v>
      </c>
      <c r="V32" s="1574" t="s">
        <v>8</v>
      </c>
      <c r="W32" s="1575">
        <f t="shared" si="12"/>
        <v>100</v>
      </c>
      <c r="X32" s="1568"/>
      <c r="Y32" s="355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040"/>
      <c r="M33" s="2032"/>
      <c r="N33" s="2032"/>
      <c r="O33" s="2039"/>
      <c r="P33" s="3553"/>
      <c r="Q33" s="1573">
        <f t="shared" si="8"/>
        <v>111</v>
      </c>
      <c r="R33" s="1574" t="s">
        <v>8</v>
      </c>
      <c r="S33" s="1575">
        <f t="shared" si="10"/>
        <v>100</v>
      </c>
      <c r="T33" s="1574" t="s">
        <v>8</v>
      </c>
      <c r="U33" s="1575">
        <f t="shared" si="11"/>
        <v>100</v>
      </c>
      <c r="V33" s="1574" t="s">
        <v>8</v>
      </c>
      <c r="W33" s="1575">
        <f t="shared" si="12"/>
        <v>100</v>
      </c>
      <c r="X33" s="1568"/>
      <c r="Y33" s="355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040"/>
      <c r="M34" s="2032"/>
      <c r="N34" s="2032"/>
      <c r="O34" s="2039"/>
      <c r="P34" s="3554" t="s">
        <v>548</v>
      </c>
      <c r="Q34" s="1573">
        <f t="shared" si="8"/>
        <v>111</v>
      </c>
      <c r="R34" s="1574" t="s">
        <v>8</v>
      </c>
      <c r="S34" s="1575">
        <f t="shared" si="10"/>
        <v>100</v>
      </c>
      <c r="T34" s="1574" t="s">
        <v>8</v>
      </c>
      <c r="U34" s="1575">
        <f t="shared" si="11"/>
        <v>100</v>
      </c>
      <c r="V34" s="1574" t="s">
        <v>8</v>
      </c>
      <c r="W34" s="1575">
        <f t="shared" si="12"/>
        <v>100</v>
      </c>
      <c r="X34" s="1568"/>
      <c r="Y34" s="3555" t="s">
        <v>548</v>
      </c>
      <c r="Z34" s="1576">
        <f t="shared" si="13"/>
        <v>111</v>
      </c>
      <c r="AA34" s="1577">
        <f t="shared" si="3"/>
        <v>1</v>
      </c>
      <c r="AB34" s="1577">
        <f t="shared" si="4"/>
        <v>1</v>
      </c>
      <c r="AC34" s="1577">
        <f t="shared" si="5"/>
        <v>1</v>
      </c>
    </row>
    <row r="35" spans="1:29" s="1339" customFormat="1" ht="15.75" thickBot="1">
      <c r="A35" s="589"/>
      <c r="B35" s="251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038"/>
      <c r="M35" s="2069"/>
      <c r="N35" s="2069"/>
      <c r="O35" s="2041"/>
      <c r="P35" s="3555"/>
      <c r="Q35" s="1573">
        <f t="shared" si="8"/>
        <v>111</v>
      </c>
      <c r="R35" s="1578" t="s">
        <v>8</v>
      </c>
      <c r="S35" s="1579">
        <f t="shared" si="10"/>
        <v>100</v>
      </c>
      <c r="T35" s="1578" t="s">
        <v>8</v>
      </c>
      <c r="U35" s="1579">
        <f t="shared" si="11"/>
        <v>100</v>
      </c>
      <c r="V35" s="1578" t="s">
        <v>8</v>
      </c>
      <c r="W35" s="1579">
        <f t="shared" si="12"/>
        <v>100</v>
      </c>
      <c r="X35" s="1580"/>
      <c r="Y35" s="3555"/>
      <c r="Z35" s="1581">
        <f t="shared" si="13"/>
        <v>111</v>
      </c>
      <c r="AA35" s="1577">
        <f t="shared" si="3"/>
        <v>1</v>
      </c>
      <c r="AB35" s="1577">
        <f t="shared" si="4"/>
        <v>1</v>
      </c>
      <c r="AC35" s="1577">
        <f t="shared" si="5"/>
        <v>1</v>
      </c>
    </row>
    <row r="36" spans="1:29" ht="15">
      <c r="A36" s="2822"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040"/>
      <c r="M36" s="2032"/>
      <c r="N36" s="2032"/>
      <c r="O36" s="2039"/>
      <c r="P36" s="3555"/>
      <c r="Q36" s="1573" t="str">
        <f>B36</f>
        <v>宗地面积</v>
      </c>
      <c r="R36" s="1574" t="s">
        <v>8</v>
      </c>
      <c r="S36" s="1575" t="e">
        <f t="shared" si="10"/>
        <v>#N/A</v>
      </c>
      <c r="T36" s="1574" t="s">
        <v>8</v>
      </c>
      <c r="U36" s="1575" t="e">
        <f t="shared" si="11"/>
        <v>#N/A</v>
      </c>
      <c r="V36" s="1574" t="s">
        <v>8</v>
      </c>
      <c r="W36" s="1575" t="e">
        <f t="shared" si="12"/>
        <v>#N/A</v>
      </c>
      <c r="X36" s="1568"/>
      <c r="Y36" s="3555"/>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040"/>
      <c r="M37" s="2032"/>
      <c r="N37" s="2032"/>
      <c r="O37" s="2039"/>
      <c r="P37" s="3555"/>
      <c r="Q37" s="1573" t="str">
        <f t="shared" ref="Q37:Q42" si="14">B37</f>
        <v>宗地形状</v>
      </c>
      <c r="R37" s="1574" t="s">
        <v>8</v>
      </c>
      <c r="S37" s="1575">
        <f t="shared" si="10"/>
        <v>100</v>
      </c>
      <c r="T37" s="1574" t="s">
        <v>8</v>
      </c>
      <c r="U37" s="1575">
        <f t="shared" si="11"/>
        <v>100</v>
      </c>
      <c r="V37" s="1574" t="s">
        <v>8</v>
      </c>
      <c r="W37" s="1575">
        <f t="shared" si="12"/>
        <v>100</v>
      </c>
      <c r="X37" s="1568"/>
      <c r="Y37" s="3555"/>
      <c r="Z37" s="1576" t="str">
        <f t="shared" si="13"/>
        <v>宗地形状</v>
      </c>
      <c r="AA37" s="1577">
        <f t="shared" si="3"/>
        <v>1</v>
      </c>
      <c r="AB37" s="1577">
        <f t="shared" si="4"/>
        <v>1</v>
      </c>
      <c r="AC37" s="1577">
        <f t="shared" si="5"/>
        <v>1</v>
      </c>
    </row>
    <row r="38" spans="1:29" s="1220" customFormat="1" ht="15">
      <c r="A38" s="600"/>
      <c r="B38" s="1793"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33"/>
      <c r="M38" s="2034"/>
      <c r="N38" s="2034"/>
      <c r="O38" s="2035"/>
      <c r="P38" s="3555"/>
      <c r="Q38" s="1573" t="str">
        <f t="shared" si="14"/>
        <v>宗地开发程度</v>
      </c>
      <c r="R38" s="1569" t="s">
        <v>8</v>
      </c>
      <c r="S38" s="1570">
        <f t="shared" si="10"/>
        <v>100</v>
      </c>
      <c r="T38" s="1569" t="s">
        <v>8</v>
      </c>
      <c r="U38" s="1570">
        <f t="shared" si="11"/>
        <v>100</v>
      </c>
      <c r="V38" s="1569" t="s">
        <v>8</v>
      </c>
      <c r="W38" s="1570">
        <f t="shared" si="12"/>
        <v>100</v>
      </c>
      <c r="X38" s="1571"/>
      <c r="Y38" s="3555"/>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55" t="s">
        <v>599</v>
      </c>
      <c r="Q39" s="1573" t="str">
        <f t="shared" si="14"/>
        <v>工程地质条件</v>
      </c>
      <c r="R39" s="1574" t="s">
        <v>8</v>
      </c>
      <c r="S39" s="1575">
        <f t="shared" si="10"/>
        <v>100</v>
      </c>
      <c r="T39" s="1574" t="s">
        <v>8</v>
      </c>
      <c r="U39" s="1575">
        <f t="shared" si="11"/>
        <v>100</v>
      </c>
      <c r="V39" s="1574" t="s">
        <v>8</v>
      </c>
      <c r="W39" s="1575">
        <f t="shared" si="12"/>
        <v>100</v>
      </c>
      <c r="X39" s="1568"/>
      <c r="Y39" s="3555"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040"/>
      <c r="M40" s="2032"/>
      <c r="N40" s="2032"/>
      <c r="O40" s="2039"/>
      <c r="P40" s="3555"/>
      <c r="Q40" s="1573">
        <f t="shared" si="14"/>
        <v>111</v>
      </c>
      <c r="R40" s="1574" t="s">
        <v>8</v>
      </c>
      <c r="S40" s="1575">
        <f t="shared" si="10"/>
        <v>100</v>
      </c>
      <c r="T40" s="1574" t="s">
        <v>8</v>
      </c>
      <c r="U40" s="1575">
        <f t="shared" si="11"/>
        <v>100</v>
      </c>
      <c r="V40" s="1574" t="s">
        <v>8</v>
      </c>
      <c r="W40" s="1575">
        <f t="shared" si="12"/>
        <v>100</v>
      </c>
      <c r="X40" s="1568"/>
      <c r="Y40" s="355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040"/>
      <c r="M41" s="2032"/>
      <c r="N41" s="2032"/>
      <c r="O41" s="2039"/>
      <c r="P41" s="3555"/>
      <c r="Q41" s="1573">
        <f t="shared" si="14"/>
        <v>111</v>
      </c>
      <c r="R41" s="1574" t="s">
        <v>8</v>
      </c>
      <c r="S41" s="1575">
        <f t="shared" si="10"/>
        <v>100</v>
      </c>
      <c r="T41" s="1574" t="s">
        <v>8</v>
      </c>
      <c r="U41" s="1575">
        <f t="shared" si="11"/>
        <v>100</v>
      </c>
      <c r="V41" s="1574" t="s">
        <v>8</v>
      </c>
      <c r="W41" s="1575">
        <f t="shared" si="12"/>
        <v>100</v>
      </c>
      <c r="X41" s="1568"/>
      <c r="Y41" s="355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038"/>
      <c r="M42" s="2069"/>
      <c r="N42" s="2069"/>
      <c r="O42" s="2041"/>
      <c r="P42" s="3555"/>
      <c r="Q42" s="1573">
        <f t="shared" si="14"/>
        <v>111</v>
      </c>
      <c r="R42" s="1578" t="s">
        <v>8</v>
      </c>
      <c r="S42" s="1579">
        <f t="shared" si="10"/>
        <v>100</v>
      </c>
      <c r="T42" s="1578" t="s">
        <v>8</v>
      </c>
      <c r="U42" s="1579">
        <f t="shared" si="11"/>
        <v>100</v>
      </c>
      <c r="V42" s="1578" t="s">
        <v>8</v>
      </c>
      <c r="W42" s="1579">
        <f t="shared" si="12"/>
        <v>100</v>
      </c>
      <c r="X42" s="1580"/>
      <c r="Y42" s="3555"/>
      <c r="Z42" s="1581">
        <f t="shared" si="13"/>
        <v>111</v>
      </c>
      <c r="AA42" s="1577">
        <f t="shared" si="3"/>
        <v>1</v>
      </c>
      <c r="AB42" s="1577">
        <f t="shared" si="4"/>
        <v>1</v>
      </c>
      <c r="AC42" s="1577">
        <f t="shared" si="5"/>
        <v>1</v>
      </c>
    </row>
    <row r="43" spans="1:29" ht="15">
      <c r="A43" s="607" t="s">
        <v>554</v>
      </c>
      <c r="B43" s="608" t="s">
        <v>2921</v>
      </c>
      <c r="C43" s="609" t="s">
        <v>1</v>
      </c>
      <c r="D43" s="610"/>
      <c r="E43" s="611"/>
      <c r="F43" s="612"/>
      <c r="G43" s="613"/>
      <c r="H43" s="614"/>
      <c r="I43" s="611"/>
      <c r="J43" s="614"/>
      <c r="K43" s="1340"/>
      <c r="L43" s="2042"/>
      <c r="M43" s="2032"/>
      <c r="N43" s="2032"/>
      <c r="O43" s="2043"/>
      <c r="P43" s="3550" t="str">
        <f>A43</f>
        <v>成交单价</v>
      </c>
      <c r="Q43" s="3550"/>
      <c r="R43" s="3564">
        <f>E43</f>
        <v>0</v>
      </c>
      <c r="S43" s="3564"/>
      <c r="T43" s="3564">
        <f>G43</f>
        <v>0</v>
      </c>
      <c r="U43" s="3564"/>
      <c r="V43" s="3564">
        <f>I43</f>
        <v>0</v>
      </c>
      <c r="W43" s="3564"/>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042"/>
      <c r="M44" s="2032"/>
      <c r="N44" s="2032"/>
      <c r="O44" s="2043"/>
      <c r="P44" s="3550" t="str">
        <f>A44</f>
        <v>比较价格（元/平方米）</v>
      </c>
      <c r="Q44" s="3550"/>
      <c r="R44" s="3573" t="e">
        <f>ROUND(PRODUCT(R43,AA9:AA42),0)</f>
        <v>#DIV/0!</v>
      </c>
      <c r="S44" s="3573"/>
      <c r="T44" s="3573" t="e">
        <f>ROUND(PRODUCT(T43,AB9:AB42),0)</f>
        <v>#DIV/0!</v>
      </c>
      <c r="U44" s="3573"/>
      <c r="V44" s="3573" t="e">
        <f>ROUND(PRODUCT(V43,AC9:AC42),0)</f>
        <v>#DIV/0!</v>
      </c>
      <c r="W44" s="3573"/>
      <c r="X44" s="1560"/>
      <c r="Y44" s="1560"/>
      <c r="Z44" s="1560"/>
      <c r="AA44" s="1560"/>
      <c r="AB44" s="1560"/>
      <c r="AC44" s="1560"/>
    </row>
    <row r="45" spans="1:29" ht="15.75" thickBot="1">
      <c r="A45" s="621" t="s">
        <v>2922</v>
      </c>
      <c r="B45" s="622"/>
      <c r="C45" s="623" t="e">
        <f>R45</f>
        <v>#DIV/0!</v>
      </c>
      <c r="D45" s="623"/>
      <c r="E45" s="623"/>
      <c r="F45" s="623"/>
      <c r="G45" s="623"/>
      <c r="H45" s="623"/>
      <c r="I45" s="623"/>
      <c r="J45" s="623"/>
      <c r="K45" s="1342"/>
      <c r="L45" s="2042"/>
      <c r="M45" s="2032"/>
      <c r="N45" s="2032"/>
      <c r="O45" s="2043"/>
      <c r="P45" s="3570" t="str">
        <f>A45</f>
        <v>估价对象XX用房的比较价格（楼面单价，元/平方米）</v>
      </c>
      <c r="Q45" s="3571"/>
      <c r="R45" s="3572" t="e">
        <f>ROUND(AVERAGE(R44:V44),0)</f>
        <v>#DIV/0!</v>
      </c>
      <c r="S45" s="3572"/>
      <c r="T45" s="3572"/>
      <c r="U45" s="3572"/>
      <c r="V45" s="3572"/>
      <c r="W45" s="3572"/>
      <c r="X45" s="1560"/>
      <c r="Y45" s="1560"/>
      <c r="Z45" s="1560"/>
      <c r="AA45" s="1560"/>
      <c r="AB45" s="1560"/>
      <c r="AC45" s="1560"/>
    </row>
    <row r="46" spans="1:29">
      <c r="A46" s="2043"/>
      <c r="B46" s="2043"/>
      <c r="C46" s="2043"/>
      <c r="D46" s="2043"/>
      <c r="E46" s="2043"/>
      <c r="F46" s="2043"/>
      <c r="G46" s="2046"/>
      <c r="H46" s="2043"/>
      <c r="I46" s="2043"/>
      <c r="J46" s="2043"/>
      <c r="K46" s="2047"/>
      <c r="L46" s="2048"/>
      <c r="M46" s="2032"/>
      <c r="N46" s="2032"/>
      <c r="O46" s="2043"/>
      <c r="P46" s="1560"/>
      <c r="Q46" s="1560"/>
      <c r="R46" s="1560"/>
      <c r="S46" s="1560"/>
      <c r="T46" s="1560"/>
      <c r="U46" s="1560"/>
      <c r="V46" s="1560"/>
      <c r="W46" s="1560"/>
      <c r="X46" s="1560"/>
      <c r="Y46" s="1560"/>
      <c r="Z46" s="1560"/>
      <c r="AA46" s="1560"/>
      <c r="AB46" s="1560"/>
      <c r="AC46" s="1560"/>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345" customFormat="1" ht="13.5" customHeight="1">
      <c r="A50" s="2044"/>
      <c r="B50" s="2044"/>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3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629" t="s">
        <v>558</v>
      </c>
      <c r="B52" s="630" t="s">
        <v>559</v>
      </c>
      <c r="C52" s="1561" t="s">
        <v>1723</v>
      </c>
      <c r="D52" s="2125" t="s">
        <v>2291</v>
      </c>
      <c r="E52" s="631" t="s">
        <v>560</v>
      </c>
      <c r="F52" s="1849" t="s">
        <v>561</v>
      </c>
      <c r="G52" s="3574" t="s">
        <v>2282</v>
      </c>
      <c r="H52" s="3575"/>
      <c r="I52" s="1850" t="s">
        <v>1946</v>
      </c>
      <c r="J52" s="1556" t="str">
        <f>项目基本情况!F41</f>
        <v>惠州市</v>
      </c>
      <c r="K52" s="2052" t="s">
        <v>1722</v>
      </c>
      <c r="L52" s="2048"/>
      <c r="M52" s="2043"/>
      <c r="N52" s="2043"/>
      <c r="O52" s="2043"/>
      <c r="P52" s="2043"/>
      <c r="Q52" s="2043"/>
      <c r="R52" s="2043"/>
      <c r="S52" s="2043"/>
      <c r="T52" s="2043"/>
      <c r="U52" s="2043"/>
      <c r="V52" s="2043"/>
      <c r="W52" s="2043"/>
      <c r="X52" s="2043"/>
      <c r="Y52" s="2043"/>
      <c r="Z52" s="2043"/>
      <c r="AA52" s="2043"/>
      <c r="AB52" s="2043"/>
      <c r="AC52" s="2043"/>
    </row>
    <row r="53" spans="1:29" s="1346" customFormat="1" ht="12.75">
      <c r="A53" s="633" t="s">
        <v>562</v>
      </c>
      <c r="B53" s="634" t="e">
        <f>C45</f>
        <v>#DIV/0!</v>
      </c>
      <c r="C53" s="635">
        <v>1</v>
      </c>
      <c r="D53" s="2126">
        <v>1</v>
      </c>
      <c r="E53" s="635">
        <f>'数据-汇总表'!E8+'数据-汇总表'!E9</f>
        <v>154292.6</v>
      </c>
      <c r="F53" s="1848" t="e">
        <f t="shared" ref="F53:F62" si="15">ROUND(B53*E53/10000,0)</f>
        <v>#DIV/0!</v>
      </c>
      <c r="G53" s="3576"/>
      <c r="H53" s="3577"/>
      <c r="I53" s="1851">
        <v>1</v>
      </c>
      <c r="J53" s="1557">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346" customFormat="1" ht="12.75">
      <c r="A54" s="637" t="s">
        <v>563</v>
      </c>
      <c r="B54" s="638" t="e">
        <f>ROUND($C$45*C54*D54,0)</f>
        <v>#DIV/0!</v>
      </c>
      <c r="C54" s="378">
        <f t="shared" ref="C54:C62" si="16">IF($C$52="北京市系数",I54,J54)</f>
        <v>0</v>
      </c>
      <c r="D54" s="2127">
        <v>0.25</v>
      </c>
      <c r="E54" s="639"/>
      <c r="F54" s="1848" t="e">
        <f t="shared" si="15"/>
        <v>#DIV/0!</v>
      </c>
      <c r="G54" s="3578" t="s">
        <v>2283</v>
      </c>
      <c r="H54" s="1852">
        <f>项目基本情况!B43</f>
        <v>0</v>
      </c>
      <c r="I54" s="1851">
        <f>SUMIF(修正!$A$45:$A$56,H54,修正!B45:B56)</f>
        <v>0</v>
      </c>
      <c r="J54" s="1559"/>
      <c r="K54" s="2053"/>
      <c r="L54" s="2053"/>
      <c r="M54" s="2053"/>
      <c r="N54" s="2053"/>
      <c r="O54" s="2053"/>
      <c r="P54" s="2053"/>
      <c r="Q54" s="2053"/>
      <c r="R54" s="2053"/>
      <c r="S54" s="2053"/>
      <c r="T54" s="2053"/>
      <c r="U54" s="2053"/>
      <c r="V54" s="2053"/>
      <c r="W54" s="2053"/>
      <c r="X54" s="2053"/>
      <c r="Y54" s="2053"/>
      <c r="Z54" s="2053"/>
      <c r="AA54" s="2053"/>
      <c r="AB54" s="2053"/>
      <c r="AC54" s="2053"/>
    </row>
    <row r="55" spans="1:29" s="1346" customFormat="1" ht="12.75">
      <c r="A55" s="637" t="s">
        <v>564</v>
      </c>
      <c r="B55" s="638" t="e">
        <f t="shared" ref="B55:B62" si="17">ROUND($C$45*C55*D55,0)</f>
        <v>#DIV/0!</v>
      </c>
      <c r="C55" s="378">
        <f t="shared" si="16"/>
        <v>0</v>
      </c>
      <c r="D55" s="2127">
        <v>0.25</v>
      </c>
      <c r="E55" s="639"/>
      <c r="F55" s="1848" t="e">
        <f t="shared" si="15"/>
        <v>#DIV/0!</v>
      </c>
      <c r="G55" s="3578"/>
      <c r="H55" s="1853">
        <f>项目基本情况!B43</f>
        <v>0</v>
      </c>
      <c r="I55" s="1851">
        <f>SUMIF(修正!$A$45:$A$56,H55,修正!C45:C56)</f>
        <v>0</v>
      </c>
      <c r="J55" s="1559"/>
      <c r="K55" s="2053"/>
      <c r="L55" s="2053"/>
      <c r="M55" s="2053"/>
      <c r="N55" s="2053"/>
      <c r="O55" s="2053"/>
      <c r="P55" s="2053"/>
      <c r="Q55" s="2053"/>
      <c r="R55" s="2053"/>
      <c r="S55" s="2053"/>
      <c r="T55" s="2053"/>
      <c r="U55" s="2053"/>
      <c r="V55" s="2053"/>
      <c r="W55" s="2053"/>
      <c r="X55" s="2053"/>
      <c r="Y55" s="2053"/>
      <c r="Z55" s="2053"/>
      <c r="AA55" s="2053"/>
      <c r="AB55" s="2053"/>
      <c r="AC55" s="2053"/>
    </row>
    <row r="56" spans="1:29" s="1346" customFormat="1" ht="12.75">
      <c r="A56" s="637" t="s">
        <v>565</v>
      </c>
      <c r="B56" s="638" t="e">
        <f t="shared" si="17"/>
        <v>#DIV/0!</v>
      </c>
      <c r="C56" s="378">
        <f t="shared" si="16"/>
        <v>0</v>
      </c>
      <c r="D56" s="2127">
        <v>0.25</v>
      </c>
      <c r="E56" s="639"/>
      <c r="F56" s="1848" t="e">
        <f t="shared" si="15"/>
        <v>#DIV/0!</v>
      </c>
      <c r="G56" s="3578"/>
      <c r="H56" s="1853">
        <f>项目基本情况!B43</f>
        <v>0</v>
      </c>
      <c r="I56" s="1851">
        <f>SUMIF(修正!$A$45:$A$56,H56,修正!D45:D56)</f>
        <v>0</v>
      </c>
      <c r="J56" s="1559"/>
      <c r="K56" s="2053"/>
      <c r="L56" s="2053"/>
      <c r="M56" s="2053"/>
      <c r="N56" s="2053"/>
      <c r="O56" s="2053"/>
      <c r="P56" s="2053"/>
      <c r="Q56" s="2053"/>
      <c r="R56" s="2053"/>
      <c r="S56" s="2053"/>
      <c r="T56" s="2053"/>
      <c r="U56" s="2053"/>
      <c r="V56" s="2053"/>
      <c r="W56" s="2053"/>
      <c r="X56" s="2053"/>
      <c r="Y56" s="2053"/>
      <c r="Z56" s="2053"/>
      <c r="AA56" s="2053"/>
      <c r="AB56" s="2053"/>
      <c r="AC56" s="2053"/>
    </row>
    <row r="57" spans="1:29" s="1346" customFormat="1" ht="12.75">
      <c r="A57" s="637" t="s">
        <v>566</v>
      </c>
      <c r="B57" s="638" t="e">
        <f t="shared" si="17"/>
        <v>#DIV/0!</v>
      </c>
      <c r="C57" s="378">
        <f t="shared" si="16"/>
        <v>0</v>
      </c>
      <c r="D57" s="2127">
        <v>0.25</v>
      </c>
      <c r="E57" s="639"/>
      <c r="F57" s="1848" t="e">
        <f t="shared" si="15"/>
        <v>#DIV/0!</v>
      </c>
      <c r="G57" s="3578"/>
      <c r="H57" s="1853">
        <f>项目基本情况!B43</f>
        <v>0</v>
      </c>
      <c r="I57" s="1851">
        <f>SUMIF(修正!$A$45:$A$56,H57,修正!E45:E56)</f>
        <v>0</v>
      </c>
      <c r="J57" s="1559"/>
      <c r="K57" s="2053"/>
      <c r="L57" s="2053"/>
      <c r="M57" s="2053"/>
      <c r="N57" s="2053"/>
      <c r="O57" s="2053"/>
      <c r="P57" s="2053"/>
      <c r="Q57" s="2053"/>
      <c r="R57" s="2053"/>
      <c r="S57" s="2053"/>
      <c r="T57" s="2053"/>
      <c r="U57" s="2053"/>
      <c r="V57" s="2053"/>
      <c r="W57" s="2053"/>
      <c r="X57" s="2053"/>
      <c r="Y57" s="2053"/>
      <c r="Z57" s="2053"/>
      <c r="AA57" s="2053"/>
      <c r="AB57" s="2053"/>
      <c r="AC57" s="2053"/>
    </row>
    <row r="58" spans="1:29" s="1346" customFormat="1" ht="12.75">
      <c r="A58" s="2229" t="s">
        <v>2324</v>
      </c>
      <c r="B58" s="638" t="e">
        <f t="shared" si="17"/>
        <v>#DIV/0!</v>
      </c>
      <c r="C58" s="378">
        <f t="shared" si="16"/>
        <v>0</v>
      </c>
      <c r="D58" s="2127">
        <v>0.25</v>
      </c>
      <c r="E58" s="641">
        <f>'数据-汇总表'!E11</f>
        <v>0</v>
      </c>
      <c r="F58" s="1848" t="e">
        <f t="shared" si="15"/>
        <v>#DIV/0!</v>
      </c>
      <c r="G58" s="1854" t="s">
        <v>2284</v>
      </c>
      <c r="H58" s="1853">
        <f>项目基本情况!C43</f>
        <v>0</v>
      </c>
      <c r="I58" s="1851">
        <f>SUMIF(修正!$A$45:$A$56,H58,修正!F45:F56)</f>
        <v>0</v>
      </c>
      <c r="J58" s="1559"/>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567</v>
      </c>
      <c r="B59" s="638" t="e">
        <f t="shared" si="17"/>
        <v>#DIV/0!</v>
      </c>
      <c r="C59" s="378">
        <f t="shared" si="16"/>
        <v>0</v>
      </c>
      <c r="D59" s="2127">
        <v>0.25</v>
      </c>
      <c r="E59" s="641">
        <f>'数据-汇总表'!E12</f>
        <v>0</v>
      </c>
      <c r="F59" s="1848" t="e">
        <f t="shared" si="15"/>
        <v>#DIV/0!</v>
      </c>
      <c r="G59" s="1844" t="s">
        <v>1676</v>
      </c>
      <c r="H59" s="1852">
        <f>IF(G59="商业",项目基本情况!B43,IF(G59="办公",项目基本情况!C43,IF(G59="住宅",项目基本情况!D43,项目基本情况!E43)))</f>
        <v>0</v>
      </c>
      <c r="I59" s="1851">
        <f>SUMIF(修正!$A$45:$A$56,H59,修正!G45:G56)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568</v>
      </c>
      <c r="B60" s="638" t="e">
        <f t="shared" si="17"/>
        <v>#DIV/0!</v>
      </c>
      <c r="C60" s="378">
        <f t="shared" si="16"/>
        <v>0</v>
      </c>
      <c r="D60" s="2127">
        <v>0.25</v>
      </c>
      <c r="E60" s="641">
        <f>'数据-汇总表'!E13</f>
        <v>0</v>
      </c>
      <c r="F60" s="1848" t="e">
        <f t="shared" si="15"/>
        <v>#DIV/0!</v>
      </c>
      <c r="G60" s="1844" t="s">
        <v>921</v>
      </c>
      <c r="H60" s="1852">
        <f>IF(G60="商业",项目基本情况!B43,IF(G60="办公",项目基本情况!C43,IF(G60="住宅",项目基本情况!D43,项目基本情况!E43)))</f>
        <v>0</v>
      </c>
      <c r="I60" s="1851">
        <f>SUMIF(修正!$A$45:$A$56,H60,修正!H45:H56)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569</v>
      </c>
      <c r="B61" s="638" t="e">
        <f t="shared" si="17"/>
        <v>#DIV/0!</v>
      </c>
      <c r="C61" s="378">
        <f t="shared" si="16"/>
        <v>0</v>
      </c>
      <c r="D61" s="2127">
        <v>0.25</v>
      </c>
      <c r="E61" s="641">
        <f>'数据-汇总表'!E14</f>
        <v>0</v>
      </c>
      <c r="F61" s="1848" t="e">
        <f t="shared" si="15"/>
        <v>#DIV/0!</v>
      </c>
      <c r="G61" s="1854" t="s">
        <v>2283</v>
      </c>
      <c r="H61" s="1853">
        <f>项目基本情况!B43</f>
        <v>0</v>
      </c>
      <c r="I61" s="1851">
        <f>SUMIF(修正!$A$45:$A$56,H61,修正!H45:H56)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3.5" thickBot="1">
      <c r="A62" s="637" t="s">
        <v>570</v>
      </c>
      <c r="B62" s="638" t="e">
        <f t="shared" si="17"/>
        <v>#DIV/0!</v>
      </c>
      <c r="C62" s="378">
        <f t="shared" si="16"/>
        <v>0</v>
      </c>
      <c r="D62" s="2127">
        <v>0.25</v>
      </c>
      <c r="E62" s="641">
        <f>'数据-汇总表'!E15</f>
        <v>0</v>
      </c>
      <c r="F62" s="1848" t="e">
        <f t="shared" si="15"/>
        <v>#DIV/0!</v>
      </c>
      <c r="G62" s="1855" t="s">
        <v>2284</v>
      </c>
      <c r="H62" s="1856">
        <f>项目基本情况!C43</f>
        <v>0</v>
      </c>
      <c r="I62" s="1851">
        <f>SUMIF(修正!$A$45:$A$56,H62,修正!H45:H56)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3.5" thickBot="1">
      <c r="A63" s="642" t="s">
        <v>571</v>
      </c>
      <c r="B63" s="643" t="s">
        <v>17</v>
      </c>
      <c r="C63" s="643" t="s">
        <v>18</v>
      </c>
      <c r="D63" s="643" t="s">
        <v>2292</v>
      </c>
      <c r="E63" s="643">
        <f>IF(B43="楼面地价",SUM(E53:E62),'数据-汇总表'!D3)</f>
        <v>110209</v>
      </c>
      <c r="F63" s="644"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5" t="str">
        <f>YEAR(C9)&amp;"-"&amp;MONTH(C9)&amp;"-1"</f>
        <v>2017-12-1</v>
      </c>
      <c r="D65" s="2714">
        <f>EDATE(C65,-3)</f>
        <v>42979</v>
      </c>
      <c r="E65" s="2714">
        <f t="shared" ref="E65:N65" si="18">EDATE(D65,-3)</f>
        <v>42887</v>
      </c>
      <c r="F65" s="2714">
        <f t="shared" si="18"/>
        <v>42795</v>
      </c>
      <c r="G65" s="2714">
        <f t="shared" si="18"/>
        <v>42705</v>
      </c>
      <c r="H65" s="2714">
        <f t="shared" si="18"/>
        <v>42614</v>
      </c>
      <c r="I65" s="2714">
        <f t="shared" si="18"/>
        <v>42522</v>
      </c>
      <c r="J65" s="2714">
        <f t="shared" si="18"/>
        <v>42430</v>
      </c>
      <c r="K65" s="2714">
        <f t="shared" si="18"/>
        <v>42339</v>
      </c>
      <c r="L65" s="2714">
        <f t="shared" si="18"/>
        <v>42248</v>
      </c>
      <c r="M65" s="2714">
        <f t="shared" si="18"/>
        <v>42156</v>
      </c>
      <c r="N65" s="2714">
        <f t="shared" si="18"/>
        <v>42064</v>
      </c>
      <c r="O65" s="2043"/>
      <c r="P65" s="2043"/>
      <c r="Q65" s="2043"/>
      <c r="R65" s="2043"/>
      <c r="S65" s="2043"/>
      <c r="T65" s="2043"/>
      <c r="U65" s="2043"/>
      <c r="V65" s="2043"/>
      <c r="W65" s="2043"/>
      <c r="X65" s="2043"/>
      <c r="Y65" s="2043"/>
      <c r="Z65" s="2043"/>
      <c r="AA65" s="2043"/>
      <c r="AB65" s="2043"/>
      <c r="AC65" s="2043"/>
    </row>
    <row r="66" spans="1:29" ht="21.75" thickBot="1">
      <c r="A66" s="1585" t="s">
        <v>572</v>
      </c>
      <c r="B66" s="1560"/>
      <c r="C66" s="1584"/>
      <c r="D66" s="1584"/>
      <c r="E66" s="1584"/>
      <c r="F66" s="1586"/>
      <c r="G66" s="1586"/>
      <c r="H66" s="1584"/>
      <c r="I66" s="1584"/>
      <c r="J66" s="1584"/>
      <c r="K66" s="1587"/>
      <c r="L66" s="1583"/>
      <c r="M66" s="1584"/>
      <c r="N66" s="1584"/>
      <c r="O66" s="2055"/>
      <c r="P66" s="2055"/>
      <c r="Q66" s="2056"/>
      <c r="R66" s="2043"/>
      <c r="S66" s="2043"/>
      <c r="T66" s="2043"/>
      <c r="U66" s="2043"/>
      <c r="V66" s="2043"/>
      <c r="W66" s="2043"/>
      <c r="X66" s="2043"/>
      <c r="Y66" s="2043"/>
      <c r="Z66" s="2043"/>
      <c r="AA66" s="2043"/>
      <c r="AB66" s="2043"/>
      <c r="AC66" s="2043"/>
    </row>
    <row r="67" spans="1:29" s="1347" customFormat="1" ht="15">
      <c r="A67" s="2487" t="s">
        <v>2530</v>
      </c>
      <c r="B67" s="646"/>
      <c r="C67" s="2709" t="str">
        <f>YEAR(C65)&amp;"-"&amp;ROUNDUP(MONTH(C65)/3,0)</f>
        <v>2017-4</v>
      </c>
      <c r="D67" s="2716" t="str">
        <f t="shared" ref="D67:N67" si="19">YEAR(D65)&amp;"-"&amp;ROUNDUP(MONTH(D65)/3,0)</f>
        <v>2017-3</v>
      </c>
      <c r="E67" s="2716" t="str">
        <f t="shared" si="19"/>
        <v>2017-2</v>
      </c>
      <c r="F67" s="2716" t="str">
        <f t="shared" si="19"/>
        <v>2017-1</v>
      </c>
      <c r="G67" s="2716" t="str">
        <f t="shared" si="19"/>
        <v>2016-4</v>
      </c>
      <c r="H67" s="2716" t="str">
        <f t="shared" si="19"/>
        <v>2016-3</v>
      </c>
      <c r="I67" s="2716" t="str">
        <f t="shared" si="19"/>
        <v>2016-2</v>
      </c>
      <c r="J67" s="2716" t="str">
        <f t="shared" si="19"/>
        <v>2016-1</v>
      </c>
      <c r="K67" s="2716" t="str">
        <f t="shared" si="19"/>
        <v>2015-4</v>
      </c>
      <c r="L67" s="2716" t="str">
        <f t="shared" si="19"/>
        <v>2015-3</v>
      </c>
      <c r="M67" s="2716" t="str">
        <f t="shared" si="19"/>
        <v>2015-2</v>
      </c>
      <c r="N67" s="2716" t="str">
        <f t="shared" si="19"/>
        <v>2015-1</v>
      </c>
      <c r="O67" s="2057"/>
      <c r="P67" s="2058"/>
      <c r="Q67" s="2059"/>
      <c r="R67" s="2059"/>
      <c r="S67" s="2059"/>
      <c r="T67" s="2059"/>
      <c r="U67" s="2059"/>
      <c r="V67" s="2059"/>
      <c r="W67" s="2059"/>
      <c r="X67" s="2059"/>
      <c r="Y67" s="2059"/>
      <c r="Z67" s="2059"/>
      <c r="AA67" s="2059"/>
      <c r="AB67" s="2059"/>
      <c r="AC67" s="2059"/>
    </row>
    <row r="68" spans="1:29" s="1220" customFormat="1" ht="27.75" customHeight="1">
      <c r="A68" s="2713" t="s">
        <v>2648</v>
      </c>
      <c r="B68" s="479" t="str">
        <f>"北京市平均增长率"&amp;TEXT(基准地价!P24,"0.00%")</f>
        <v>北京市平均增长率1.39%</v>
      </c>
      <c r="C68" s="894">
        <v>100</v>
      </c>
      <c r="D68" s="730"/>
      <c r="E68" s="730"/>
      <c r="F68" s="730"/>
      <c r="G68" s="730"/>
      <c r="H68" s="730"/>
      <c r="I68" s="730"/>
      <c r="J68" s="730"/>
      <c r="K68" s="730"/>
      <c r="L68" s="730"/>
      <c r="M68" s="2707"/>
      <c r="N68" s="2708"/>
      <c r="O68" s="2060"/>
      <c r="P68" s="2056"/>
      <c r="Q68" s="1891"/>
      <c r="R68" s="1891"/>
      <c r="S68" s="1891"/>
      <c r="T68" s="1891"/>
      <c r="U68" s="1891"/>
      <c r="V68" s="1891"/>
      <c r="W68" s="1891"/>
      <c r="X68" s="1891"/>
      <c r="Y68" s="1891"/>
      <c r="Z68" s="1891"/>
      <c r="AA68" s="1891"/>
      <c r="AB68" s="1891"/>
      <c r="AC68" s="1891"/>
    </row>
    <row r="69" spans="1:29" s="1220" customFormat="1" ht="15.75" thickBot="1">
      <c r="A69" s="653" t="s">
        <v>573</v>
      </c>
      <c r="B69" s="654"/>
      <c r="C69" s="2705"/>
      <c r="D69" s="2706"/>
      <c r="E69" s="2706"/>
      <c r="F69" s="2706"/>
      <c r="G69" s="2706"/>
      <c r="H69" s="2706"/>
      <c r="I69" s="2706"/>
      <c r="J69" s="2706"/>
      <c r="K69" s="2706"/>
      <c r="L69" s="2706"/>
      <c r="M69" s="2706"/>
      <c r="N69" s="2706"/>
      <c r="O69" s="2060"/>
      <c r="P69" s="2056"/>
      <c r="Q69" s="2056"/>
      <c r="R69" s="1891"/>
      <c r="S69" s="1891"/>
      <c r="T69" s="1891"/>
      <c r="U69" s="1891"/>
      <c r="V69" s="1891"/>
      <c r="W69" s="1891"/>
      <c r="X69" s="1891"/>
      <c r="Y69" s="1891"/>
      <c r="Z69" s="1891"/>
      <c r="AA69" s="1891"/>
      <c r="AB69" s="1891"/>
      <c r="AC69" s="1891"/>
    </row>
    <row r="70" spans="1:29" s="1220" customFormat="1" ht="15">
      <c r="A70" s="659" t="s">
        <v>529</v>
      </c>
      <c r="B70" s="648"/>
      <c r="C70" s="660" t="s">
        <v>574</v>
      </c>
      <c r="D70" s="661"/>
      <c r="E70" s="661"/>
      <c r="F70" s="661"/>
      <c r="G70" s="661"/>
      <c r="H70" s="661"/>
      <c r="I70" s="661"/>
      <c r="J70" s="661"/>
      <c r="K70" s="661"/>
      <c r="L70" s="662"/>
      <c r="M70" s="663"/>
      <c r="N70" s="2060"/>
      <c r="O70" s="2060"/>
      <c r="P70" s="2061"/>
      <c r="Q70" s="2056"/>
      <c r="R70" s="1891"/>
      <c r="S70" s="1891"/>
      <c r="T70" s="1891"/>
      <c r="U70" s="1891"/>
      <c r="V70" s="1891"/>
      <c r="W70" s="1891"/>
      <c r="X70" s="1891"/>
      <c r="Y70" s="1891"/>
      <c r="Z70" s="1891"/>
      <c r="AA70" s="1891"/>
      <c r="AB70" s="1891"/>
      <c r="AC70" s="1891"/>
    </row>
    <row r="71" spans="1:29" s="1220" customFormat="1" ht="15.75" thickBot="1">
      <c r="A71" s="659"/>
      <c r="B71" s="648"/>
      <c r="C71" s="649">
        <v>100</v>
      </c>
      <c r="D71" s="650"/>
      <c r="E71" s="650"/>
      <c r="F71" s="650"/>
      <c r="G71" s="650"/>
      <c r="H71" s="650"/>
      <c r="I71" s="650"/>
      <c r="J71" s="650"/>
      <c r="K71" s="650"/>
      <c r="L71" s="650"/>
      <c r="M71" s="652"/>
      <c r="N71" s="2060"/>
      <c r="O71" s="2060"/>
      <c r="P71" s="2056"/>
      <c r="Q71" s="2056"/>
      <c r="R71" s="1891"/>
      <c r="S71" s="1891"/>
      <c r="T71" s="1891"/>
      <c r="U71" s="1891"/>
      <c r="V71" s="1891"/>
      <c r="W71" s="1891"/>
      <c r="X71" s="1891"/>
      <c r="Y71" s="1891"/>
      <c r="Z71" s="1891"/>
      <c r="AA71" s="1891"/>
      <c r="AB71" s="1891"/>
      <c r="AC71" s="1891"/>
    </row>
    <row r="72" spans="1:29">
      <c r="A72" s="664" t="s">
        <v>575</v>
      </c>
      <c r="B72" s="665" t="s">
        <v>532</v>
      </c>
      <c r="C72" s="598"/>
      <c r="D72" s="598"/>
      <c r="E72" s="598"/>
      <c r="F72" s="598"/>
      <c r="G72" s="598"/>
      <c r="H72" s="598"/>
      <c r="I72" s="598"/>
      <c r="J72" s="598"/>
      <c r="K72" s="666"/>
      <c r="L72" s="667"/>
      <c r="M72" s="668"/>
      <c r="N72" s="2062"/>
      <c r="O72" s="2062"/>
      <c r="P72" s="2063"/>
      <c r="Q72" s="2056"/>
      <c r="R72" s="2043"/>
      <c r="S72" s="2043"/>
      <c r="T72" s="2043"/>
      <c r="U72" s="2043"/>
      <c r="V72" s="2043"/>
      <c r="W72" s="2043"/>
      <c r="X72" s="2043"/>
      <c r="Y72" s="2043"/>
      <c r="Z72" s="2043"/>
      <c r="AA72" s="2043"/>
      <c r="AB72" s="2043"/>
      <c r="AC72" s="2043"/>
    </row>
    <row r="73" spans="1:29" ht="15.75" thickBot="1">
      <c r="A73" s="669"/>
      <c r="B73" s="670"/>
      <c r="C73" s="671"/>
      <c r="D73" s="671"/>
      <c r="E73" s="671"/>
      <c r="F73" s="671"/>
      <c r="G73" s="671"/>
      <c r="H73" s="671"/>
      <c r="I73" s="671"/>
      <c r="J73" s="671"/>
      <c r="K73" s="671"/>
      <c r="L73" s="671"/>
      <c r="M73" s="672"/>
      <c r="N73" s="2064"/>
      <c r="O73" s="2064"/>
      <c r="P73" s="2063"/>
      <c r="Q73" s="2056"/>
      <c r="R73" s="2043"/>
      <c r="S73" s="2043"/>
      <c r="T73" s="2043"/>
      <c r="U73" s="2043"/>
      <c r="V73" s="2043"/>
      <c r="W73" s="2043"/>
      <c r="X73" s="2043"/>
      <c r="Y73" s="2043"/>
      <c r="Z73" s="2043"/>
      <c r="AA73" s="2043"/>
      <c r="AB73" s="2043"/>
      <c r="AC73" s="2043"/>
    </row>
    <row r="74" spans="1:29" ht="27.75" thickTop="1">
      <c r="A74" s="669"/>
      <c r="B74" s="673" t="s">
        <v>535</v>
      </c>
      <c r="C74" s="674"/>
      <c r="D74" s="674"/>
      <c r="E74" s="674"/>
      <c r="F74" s="674"/>
      <c r="G74" s="674"/>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c r="D75" s="679"/>
      <c r="E75" s="679"/>
      <c r="F75" s="679"/>
      <c r="G75" s="679"/>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669"/>
      <c r="B77" s="683"/>
      <c r="C77" s="541"/>
      <c r="D77" s="541"/>
      <c r="E77" s="541"/>
      <c r="F77" s="541"/>
      <c r="G77" s="541"/>
      <c r="H77" s="541"/>
      <c r="I77" s="541"/>
      <c r="J77" s="541"/>
      <c r="K77" s="684"/>
      <c r="L77" s="685"/>
      <c r="M77" s="686"/>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064"/>
      <c r="O78" s="2064"/>
      <c r="P78" s="2063"/>
      <c r="Q78" s="2056"/>
      <c r="R78" s="2043"/>
      <c r="S78" s="2043"/>
      <c r="T78" s="2043"/>
      <c r="U78" s="2043"/>
      <c r="V78" s="2043"/>
      <c r="W78" s="2043"/>
      <c r="X78" s="2043"/>
      <c r="Y78" s="2043"/>
      <c r="Z78" s="2043"/>
      <c r="AA78" s="2043"/>
      <c r="AB78" s="2043"/>
      <c r="AC78" s="2043"/>
    </row>
    <row r="79" spans="1:29" s="1339" customFormat="1" ht="15.75" thickTop="1">
      <c r="A79" s="687"/>
      <c r="B79" s="673">
        <f>B14</f>
        <v>111</v>
      </c>
      <c r="C79" s="688"/>
      <c r="D79" s="688"/>
      <c r="E79" s="688"/>
      <c r="F79" s="688"/>
      <c r="G79" s="688"/>
      <c r="H79" s="689"/>
      <c r="I79" s="689"/>
      <c r="J79" s="689"/>
      <c r="K79" s="689"/>
      <c r="L79" s="690"/>
      <c r="M79" s="691"/>
      <c r="N79" s="2065"/>
      <c r="O79" s="2065"/>
      <c r="P79" s="2066"/>
      <c r="Q79" s="2067"/>
      <c r="R79" s="2068"/>
      <c r="S79" s="2068"/>
      <c r="T79" s="2068"/>
      <c r="U79" s="2068"/>
      <c r="V79" s="2068"/>
      <c r="W79" s="2068"/>
      <c r="X79" s="2068"/>
      <c r="Y79" s="2068"/>
      <c r="Z79" s="2068"/>
      <c r="AA79" s="2068"/>
      <c r="AB79" s="2068"/>
      <c r="AC79" s="2068"/>
    </row>
    <row r="80" spans="1:29" s="1339" customFormat="1" ht="15.75" thickBot="1">
      <c r="A80" s="687"/>
      <c r="B80" s="678"/>
      <c r="C80" s="692"/>
      <c r="D80" s="671"/>
      <c r="E80" s="671"/>
      <c r="F80" s="671"/>
      <c r="G80" s="671"/>
      <c r="H80" s="671"/>
      <c r="I80" s="671"/>
      <c r="J80" s="671"/>
      <c r="K80" s="671"/>
      <c r="L80" s="671"/>
      <c r="M80" s="672"/>
      <c r="N80" s="2064"/>
      <c r="O80" s="2064"/>
      <c r="P80" s="2066"/>
      <c r="Q80" s="2067"/>
      <c r="R80" s="2068"/>
      <c r="S80" s="2068"/>
      <c r="T80" s="2068"/>
      <c r="U80" s="2068"/>
      <c r="V80" s="2068"/>
      <c r="W80" s="2068"/>
      <c r="X80" s="2068"/>
      <c r="Y80" s="2068"/>
      <c r="Z80" s="2068"/>
      <c r="AA80" s="2068"/>
      <c r="AB80" s="2068"/>
      <c r="AC80" s="2068"/>
    </row>
    <row r="81" spans="1:29" s="1339" customFormat="1" ht="15.75" thickTop="1">
      <c r="A81" s="687"/>
      <c r="B81" s="673">
        <f>B15</f>
        <v>111</v>
      </c>
      <c r="C81" s="688"/>
      <c r="D81" s="688"/>
      <c r="E81" s="688"/>
      <c r="F81" s="688"/>
      <c r="G81" s="688"/>
      <c r="H81" s="689"/>
      <c r="I81" s="689"/>
      <c r="J81" s="689"/>
      <c r="K81" s="689"/>
      <c r="L81" s="690"/>
      <c r="M81" s="691"/>
      <c r="N81" s="2065"/>
      <c r="O81" s="2065"/>
      <c r="P81" s="2069"/>
      <c r="Q81" s="2070"/>
      <c r="R81" s="2068"/>
      <c r="S81" s="2068"/>
      <c r="T81" s="2068"/>
      <c r="U81" s="2068"/>
      <c r="V81" s="2068"/>
      <c r="W81" s="2068"/>
      <c r="X81" s="2068"/>
      <c r="Y81" s="2068"/>
      <c r="Z81" s="2068"/>
      <c r="AA81" s="2068"/>
      <c r="AB81" s="2068"/>
      <c r="AC81" s="2068"/>
    </row>
    <row r="82" spans="1:29" s="1339" customFormat="1" ht="15.75" thickBot="1">
      <c r="A82" s="687"/>
      <c r="B82" s="678"/>
      <c r="C82" s="692"/>
      <c r="D82" s="692"/>
      <c r="E82" s="692"/>
      <c r="F82" s="692"/>
      <c r="G82" s="692"/>
      <c r="H82" s="693"/>
      <c r="I82" s="693"/>
      <c r="J82" s="693"/>
      <c r="K82" s="693"/>
      <c r="L82" s="693"/>
      <c r="M82" s="694"/>
      <c r="N82" s="2065"/>
      <c r="O82" s="2065"/>
      <c r="P82" s="2066"/>
      <c r="Q82" s="2067"/>
      <c r="R82" s="2068"/>
      <c r="S82" s="2068"/>
      <c r="T82" s="2068"/>
      <c r="U82" s="2068"/>
      <c r="V82" s="2068"/>
      <c r="W82" s="2068"/>
      <c r="X82" s="2068"/>
      <c r="Y82" s="2068"/>
      <c r="Z82" s="2068"/>
      <c r="AA82" s="2068"/>
      <c r="AB82" s="2068"/>
      <c r="AC82" s="2068"/>
    </row>
    <row r="83" spans="1:29" s="1339" customFormat="1" ht="15.75" thickTop="1">
      <c r="A83" s="687"/>
      <c r="B83" s="681">
        <f>B16</f>
        <v>111</v>
      </c>
      <c r="C83" s="661"/>
      <c r="D83" s="661"/>
      <c r="E83" s="661"/>
      <c r="F83" s="661"/>
      <c r="G83" s="661"/>
      <c r="H83" s="695"/>
      <c r="I83" s="695"/>
      <c r="J83" s="695"/>
      <c r="K83" s="695"/>
      <c r="L83" s="696"/>
      <c r="M83" s="697"/>
      <c r="N83" s="2065"/>
      <c r="O83" s="2065"/>
      <c r="P83" s="2071"/>
      <c r="Q83" s="2067"/>
      <c r="R83" s="2068"/>
      <c r="S83" s="2068"/>
      <c r="T83" s="2068"/>
      <c r="U83" s="2068"/>
      <c r="V83" s="2068"/>
      <c r="W83" s="2068"/>
      <c r="X83" s="2068"/>
      <c r="Y83" s="2068"/>
      <c r="Z83" s="2068"/>
      <c r="AA83" s="2068"/>
      <c r="AB83" s="2068"/>
      <c r="AC83" s="2068"/>
    </row>
    <row r="84" spans="1:29" s="1339" customFormat="1" ht="15.75" thickBot="1">
      <c r="A84" s="698"/>
      <c r="B84" s="699"/>
      <c r="C84" s="700"/>
      <c r="D84" s="700"/>
      <c r="E84" s="700"/>
      <c r="F84" s="700"/>
      <c r="G84" s="700"/>
      <c r="H84" s="701"/>
      <c r="I84" s="701"/>
      <c r="J84" s="701"/>
      <c r="K84" s="701"/>
      <c r="L84" s="701"/>
      <c r="M84" s="702"/>
      <c r="N84" s="2065"/>
      <c r="O84" s="2065"/>
      <c r="P84" s="2066"/>
      <c r="Q84" s="2067"/>
      <c r="R84" s="2068"/>
      <c r="S84" s="2068"/>
      <c r="T84" s="2068"/>
      <c r="U84" s="2068"/>
      <c r="V84" s="2068"/>
      <c r="W84" s="2068"/>
      <c r="X84" s="2068"/>
      <c r="Y84" s="2068"/>
      <c r="Z84" s="2068"/>
      <c r="AA84" s="2068"/>
      <c r="AB84" s="2068"/>
      <c r="AC84" s="2068"/>
    </row>
    <row r="85" spans="1:29">
      <c r="A85" s="664" t="s">
        <v>537</v>
      </c>
      <c r="B85" s="665" t="s">
        <v>600</v>
      </c>
      <c r="C85" s="703" t="s">
        <v>577</v>
      </c>
      <c r="D85" s="703" t="s">
        <v>578</v>
      </c>
      <c r="E85" s="703" t="s">
        <v>579</v>
      </c>
      <c r="F85" s="703" t="s">
        <v>580</v>
      </c>
      <c r="G85" s="703" t="s">
        <v>581</v>
      </c>
      <c r="H85" s="704"/>
      <c r="I85" s="704"/>
      <c r="J85" s="704"/>
      <c r="K85" s="705"/>
      <c r="L85" s="706"/>
      <c r="M85" s="707"/>
      <c r="N85" s="2062"/>
      <c r="O85" s="2062"/>
      <c r="P85" s="2072"/>
      <c r="Q85" s="2056"/>
      <c r="R85" s="2043"/>
      <c r="S85" s="2043"/>
      <c r="T85" s="2043"/>
      <c r="U85" s="2043"/>
      <c r="V85" s="2043"/>
      <c r="W85" s="2043"/>
      <c r="X85" s="2043"/>
      <c r="Y85" s="2043"/>
      <c r="Z85" s="2043"/>
      <c r="AA85" s="2043"/>
      <c r="AB85" s="2043"/>
      <c r="AC85" s="20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064"/>
      <c r="O86" s="2064"/>
      <c r="P86" s="2063"/>
      <c r="Q86" s="2056"/>
      <c r="R86" s="2043"/>
      <c r="S86" s="2043"/>
      <c r="T86" s="2043"/>
      <c r="U86" s="2043"/>
      <c r="V86" s="2043"/>
      <c r="W86" s="2043"/>
      <c r="X86" s="2043"/>
      <c r="Y86" s="2043"/>
      <c r="Z86" s="2043"/>
      <c r="AA86" s="2043"/>
      <c r="AB86" s="2043"/>
      <c r="AC86" s="2043"/>
    </row>
    <row r="87" spans="1:29" ht="15.75" thickTop="1">
      <c r="A87" s="669"/>
      <c r="B87" s="673" t="s">
        <v>584</v>
      </c>
      <c r="C87" s="708" t="s">
        <v>577</v>
      </c>
      <c r="D87" s="708" t="s">
        <v>578</v>
      </c>
      <c r="E87" s="708" t="s">
        <v>579</v>
      </c>
      <c r="F87" s="708" t="s">
        <v>580</v>
      </c>
      <c r="G87" s="708" t="s">
        <v>581</v>
      </c>
      <c r="H87" s="674"/>
      <c r="I87" s="674"/>
      <c r="J87" s="674"/>
      <c r="K87" s="675"/>
      <c r="L87" s="676"/>
      <c r="M87" s="677"/>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064"/>
      <c r="O88" s="2064"/>
      <c r="P88" s="2063"/>
      <c r="Q88" s="2056"/>
      <c r="R88" s="2043"/>
      <c r="S88" s="2043"/>
      <c r="T88" s="2043"/>
      <c r="U88" s="2043"/>
      <c r="V88" s="2043"/>
      <c r="W88" s="2043"/>
      <c r="X88" s="2043"/>
      <c r="Y88" s="2043"/>
      <c r="Z88" s="2043"/>
      <c r="AA88" s="2043"/>
      <c r="AB88" s="2043"/>
      <c r="AC88" s="2043"/>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060"/>
      <c r="O89" s="2060"/>
      <c r="P89" s="2063"/>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064"/>
      <c r="O90" s="2064"/>
      <c r="P90" s="2063"/>
      <c r="Q90" s="2056"/>
      <c r="R90" s="1891"/>
      <c r="S90" s="1891"/>
      <c r="T90" s="1891"/>
      <c r="U90" s="1891"/>
      <c r="V90" s="1891"/>
      <c r="W90" s="1891"/>
      <c r="X90" s="1891"/>
      <c r="Y90" s="1891"/>
      <c r="Z90" s="1891"/>
      <c r="AA90" s="1891"/>
      <c r="AB90" s="1891"/>
      <c r="AC90" s="1891"/>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060"/>
      <c r="O91" s="2060"/>
      <c r="P91" s="2063"/>
      <c r="Q91" s="2056"/>
      <c r="R91" s="1891"/>
      <c r="S91" s="1891"/>
      <c r="T91" s="1891"/>
      <c r="U91" s="1891"/>
      <c r="V91" s="1891"/>
      <c r="W91" s="1891"/>
      <c r="X91" s="1891"/>
      <c r="Y91" s="1891"/>
      <c r="Z91" s="1891"/>
      <c r="AA91" s="1891"/>
      <c r="AB91" s="1891"/>
      <c r="AC91" s="1891"/>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064"/>
      <c r="O92" s="2064"/>
      <c r="P92" s="2063"/>
      <c r="Q92" s="2056"/>
      <c r="R92" s="1891"/>
      <c r="S92" s="1891"/>
      <c r="T92" s="1891"/>
      <c r="U92" s="1891"/>
      <c r="V92" s="1891"/>
      <c r="W92" s="1891"/>
      <c r="X92" s="1891"/>
      <c r="Y92" s="1891"/>
      <c r="Z92" s="1891"/>
      <c r="AA92" s="1891"/>
      <c r="AB92" s="1891"/>
      <c r="AC92" s="1891"/>
    </row>
    <row r="93" spans="1:29" s="1339" customFormat="1" ht="15.75" thickTop="1">
      <c r="A93" s="687"/>
      <c r="B93" s="1794" t="s">
        <v>2545</v>
      </c>
      <c r="C93" s="703" t="s">
        <v>577</v>
      </c>
      <c r="D93" s="703" t="s">
        <v>578</v>
      </c>
      <c r="E93" s="703" t="s">
        <v>579</v>
      </c>
      <c r="F93" s="703" t="s">
        <v>580</v>
      </c>
      <c r="G93" s="703" t="s">
        <v>581</v>
      </c>
      <c r="H93" s="713"/>
      <c r="I93" s="713"/>
      <c r="J93" s="713"/>
      <c r="K93" s="713"/>
      <c r="L93" s="714"/>
      <c r="M93" s="715"/>
      <c r="N93" s="2065"/>
      <c r="O93" s="2065"/>
      <c r="P93" s="2066"/>
      <c r="Q93" s="2067"/>
      <c r="R93" s="2068"/>
      <c r="S93" s="2068"/>
      <c r="T93" s="2068"/>
      <c r="U93" s="2068"/>
      <c r="V93" s="2068"/>
      <c r="W93" s="2068"/>
      <c r="X93" s="2068"/>
      <c r="Y93" s="2068"/>
      <c r="Z93" s="2068"/>
      <c r="AA93" s="2068"/>
      <c r="AB93" s="2068"/>
      <c r="AC93" s="206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065"/>
      <c r="O94" s="2065"/>
      <c r="P94" s="2066"/>
      <c r="Q94" s="2067"/>
      <c r="R94" s="2068"/>
      <c r="S94" s="2068"/>
      <c r="T94" s="2068"/>
      <c r="U94" s="2068"/>
      <c r="V94" s="2068"/>
      <c r="W94" s="2068"/>
      <c r="X94" s="2068"/>
      <c r="Y94" s="2068"/>
      <c r="Z94" s="2068"/>
      <c r="AA94" s="2068"/>
      <c r="AB94" s="2068"/>
      <c r="AC94" s="2068"/>
    </row>
    <row r="95" spans="1:29" s="1339" customFormat="1" ht="15.75" thickTop="1">
      <c r="A95" s="687"/>
      <c r="B95" s="2516" t="s">
        <v>2547</v>
      </c>
      <c r="C95" s="2517" t="s">
        <v>2548</v>
      </c>
      <c r="D95" s="2517" t="s">
        <v>2549</v>
      </c>
      <c r="E95" s="2517" t="s">
        <v>2550</v>
      </c>
      <c r="F95" s="2517" t="s">
        <v>2551</v>
      </c>
      <c r="G95" s="2517" t="s">
        <v>2552</v>
      </c>
      <c r="H95" s="713"/>
      <c r="I95" s="713"/>
      <c r="J95" s="713"/>
      <c r="K95" s="713"/>
      <c r="L95" s="713"/>
      <c r="M95" s="715"/>
      <c r="N95" s="2065"/>
      <c r="O95" s="2065"/>
      <c r="P95" s="2066"/>
      <c r="Q95" s="2067"/>
      <c r="R95" s="2068"/>
      <c r="S95" s="2068"/>
      <c r="T95" s="2068"/>
      <c r="U95" s="2068"/>
      <c r="V95" s="2068"/>
      <c r="W95" s="2068"/>
      <c r="X95" s="2068"/>
      <c r="Y95" s="2068"/>
      <c r="Z95" s="2068"/>
      <c r="AA95" s="2068"/>
      <c r="AB95" s="2068"/>
      <c r="AC95" s="206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09"/>
      <c r="N96" s="2065"/>
      <c r="O96" s="2065"/>
      <c r="P96" s="2066"/>
      <c r="Q96" s="2067"/>
      <c r="R96" s="2068"/>
      <c r="S96" s="2068"/>
      <c r="T96" s="2068"/>
      <c r="U96" s="2068"/>
      <c r="V96" s="2068"/>
      <c r="W96" s="2068"/>
      <c r="X96" s="2068"/>
      <c r="Y96" s="2068"/>
      <c r="Z96" s="2068"/>
      <c r="AA96" s="2068"/>
      <c r="AB96" s="2068"/>
      <c r="AC96" s="2068"/>
    </row>
    <row r="97" spans="1:29" ht="15.75" thickTop="1">
      <c r="A97" s="669"/>
      <c r="B97" s="673" t="str">
        <f>B29</f>
        <v>临街状况</v>
      </c>
      <c r="C97" s="674" t="s">
        <v>587</v>
      </c>
      <c r="D97" s="674" t="s">
        <v>588</v>
      </c>
      <c r="E97" s="674" t="s">
        <v>589</v>
      </c>
      <c r="F97" s="674" t="s">
        <v>590</v>
      </c>
      <c r="G97" s="674"/>
      <c r="H97" s="674"/>
      <c r="I97" s="674"/>
      <c r="J97" s="674"/>
      <c r="K97" s="675"/>
      <c r="L97" s="676"/>
      <c r="M97" s="677"/>
      <c r="N97" s="2062"/>
      <c r="O97" s="2062"/>
      <c r="P97" s="2063"/>
      <c r="Q97" s="2056"/>
      <c r="R97" s="2043"/>
      <c r="S97" s="2043"/>
      <c r="T97" s="2043"/>
      <c r="U97" s="2043"/>
      <c r="V97" s="2043"/>
      <c r="W97" s="2043"/>
      <c r="X97" s="2043"/>
      <c r="Y97" s="2043"/>
      <c r="Z97" s="2043"/>
      <c r="AA97" s="2043"/>
      <c r="AB97" s="2043"/>
      <c r="AC97" s="20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669"/>
      <c r="B99" s="673" t="s">
        <v>546</v>
      </c>
      <c r="C99" s="688"/>
      <c r="D99" s="688"/>
      <c r="E99" s="688"/>
      <c r="F99" s="688"/>
      <c r="G99" s="688"/>
      <c r="H99" s="718"/>
      <c r="I99" s="718"/>
      <c r="J99" s="718"/>
      <c r="K99" s="719"/>
      <c r="L99" s="720"/>
      <c r="M99" s="721"/>
      <c r="N99" s="2062"/>
      <c r="O99" s="2062"/>
      <c r="P99" s="2063"/>
      <c r="Q99" s="2056"/>
      <c r="R99" s="2043"/>
      <c r="S99" s="2043"/>
      <c r="T99" s="2043"/>
      <c r="U99" s="2043"/>
      <c r="V99" s="2043"/>
      <c r="W99" s="2043"/>
      <c r="X99" s="2043"/>
      <c r="Y99" s="2043"/>
      <c r="Z99" s="2043"/>
      <c r="AA99" s="2043"/>
      <c r="AB99" s="2043"/>
      <c r="AC99" s="20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669"/>
      <c r="B101" s="673" t="s">
        <v>547</v>
      </c>
      <c r="C101" s="718"/>
      <c r="D101" s="718"/>
      <c r="E101" s="718"/>
      <c r="F101" s="718"/>
      <c r="G101" s="718"/>
      <c r="H101" s="718"/>
      <c r="I101" s="718"/>
      <c r="J101" s="718"/>
      <c r="K101" s="719"/>
      <c r="L101" s="720"/>
      <c r="M101" s="72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669"/>
      <c r="B103" s="681">
        <f>B33</f>
        <v>111</v>
      </c>
      <c r="C103" s="688"/>
      <c r="D103" s="688"/>
      <c r="E103" s="688"/>
      <c r="F103" s="688"/>
      <c r="G103" s="722"/>
      <c r="H103" s="722"/>
      <c r="I103" s="722"/>
      <c r="J103" s="722"/>
      <c r="K103" s="723"/>
      <c r="L103" s="724"/>
      <c r="M103" s="725"/>
      <c r="N103" s="2062"/>
      <c r="O103" s="2062"/>
      <c r="P103" s="2063"/>
      <c r="Q103" s="2056"/>
      <c r="R103" s="2043"/>
      <c r="S103" s="2043"/>
      <c r="T103" s="2043"/>
      <c r="U103" s="2043"/>
      <c r="V103" s="2043"/>
      <c r="W103" s="2043"/>
      <c r="X103" s="2043"/>
      <c r="Y103" s="2043"/>
      <c r="Z103" s="2043"/>
      <c r="AA103" s="2043"/>
      <c r="AB103" s="2043"/>
      <c r="AC103" s="2043"/>
    </row>
    <row r="104" spans="1:29" ht="15.75" thickBot="1">
      <c r="A104" s="669"/>
      <c r="B104" s="699"/>
      <c r="C104" s="692"/>
      <c r="D104" s="671"/>
      <c r="E104" s="671"/>
      <c r="F104" s="671"/>
      <c r="G104" s="726"/>
      <c r="H104" s="726"/>
      <c r="I104" s="726"/>
      <c r="J104" s="726"/>
      <c r="K104" s="726"/>
      <c r="L104" s="726"/>
      <c r="M104" s="727"/>
      <c r="N104" s="2064"/>
      <c r="O104" s="2064"/>
      <c r="P104" s="2063"/>
      <c r="Q104" s="2056"/>
      <c r="R104" s="2043"/>
      <c r="S104" s="2043"/>
      <c r="T104" s="2043"/>
      <c r="U104" s="2043"/>
      <c r="V104" s="2043"/>
      <c r="W104" s="2043"/>
      <c r="X104" s="2043"/>
      <c r="Y104" s="2043"/>
      <c r="Z104" s="2043"/>
      <c r="AA104" s="2043"/>
      <c r="AB104" s="2043"/>
      <c r="AC104" s="2043"/>
    </row>
    <row r="105" spans="1:29" ht="15" thickTop="1">
      <c r="A105" s="587"/>
      <c r="B105" s="673">
        <f>B34</f>
        <v>111</v>
      </c>
      <c r="C105" s="688"/>
      <c r="D105" s="688"/>
      <c r="E105" s="688"/>
      <c r="F105" s="68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92"/>
      <c r="D106" s="692"/>
      <c r="E106" s="692"/>
      <c r="F106" s="692"/>
      <c r="G106" s="671"/>
      <c r="H106" s="671"/>
      <c r="I106" s="671"/>
      <c r="J106" s="671"/>
      <c r="K106" s="671"/>
      <c r="L106" s="671"/>
      <c r="M106" s="672"/>
      <c r="N106" s="2064"/>
      <c r="O106" s="2064"/>
      <c r="P106" s="2063"/>
      <c r="Q106" s="2056"/>
      <c r="R106" s="2043"/>
      <c r="S106" s="2043"/>
      <c r="T106" s="2043"/>
      <c r="U106" s="2043"/>
      <c r="V106" s="2043"/>
      <c r="W106" s="2043"/>
      <c r="X106" s="2043"/>
      <c r="Y106" s="2043"/>
      <c r="Z106" s="2043"/>
      <c r="AA106" s="2043"/>
      <c r="AB106" s="2043"/>
      <c r="AC106" s="2043"/>
    </row>
    <row r="107" spans="1:29" s="1339" customFormat="1" ht="15" thickTop="1">
      <c r="A107" s="728"/>
      <c r="B107" s="729">
        <f>B35</f>
        <v>111</v>
      </c>
      <c r="C107" s="661"/>
      <c r="D107" s="661"/>
      <c r="E107" s="661"/>
      <c r="F107" s="661"/>
      <c r="G107" s="730"/>
      <c r="H107" s="730"/>
      <c r="I107" s="730"/>
      <c r="J107" s="731"/>
      <c r="K107" s="731"/>
      <c r="L107" s="732"/>
      <c r="M107" s="733"/>
      <c r="N107" s="2065"/>
      <c r="O107" s="2065"/>
      <c r="P107" s="2066"/>
      <c r="Q107" s="2067"/>
      <c r="R107" s="2068"/>
      <c r="S107" s="2068"/>
      <c r="T107" s="2068"/>
      <c r="U107" s="2068"/>
      <c r="V107" s="2068"/>
      <c r="W107" s="2068"/>
      <c r="X107" s="2068"/>
      <c r="Y107" s="2068"/>
      <c r="Z107" s="2068"/>
      <c r="AA107" s="2068"/>
      <c r="AB107" s="2068"/>
      <c r="AC107" s="2068"/>
    </row>
    <row r="108" spans="1:29" s="1339" customFormat="1" ht="15.75" thickBot="1">
      <c r="A108" s="687"/>
      <c r="B108" s="681"/>
      <c r="C108" s="700"/>
      <c r="D108" s="700"/>
      <c r="E108" s="700"/>
      <c r="F108" s="700"/>
      <c r="G108" s="592"/>
      <c r="H108" s="592"/>
      <c r="I108" s="592"/>
      <c r="J108" s="592"/>
      <c r="K108" s="592"/>
      <c r="L108" s="592"/>
      <c r="M108" s="734"/>
      <c r="N108" s="2064"/>
      <c r="O108" s="2064"/>
      <c r="P108" s="2066"/>
      <c r="Q108" s="2067"/>
      <c r="R108" s="2068"/>
      <c r="S108" s="2068"/>
      <c r="T108" s="2068"/>
      <c r="U108" s="2068"/>
      <c r="V108" s="2068"/>
      <c r="W108" s="2068"/>
      <c r="X108" s="2068"/>
      <c r="Y108" s="2068"/>
      <c r="Z108" s="2068"/>
      <c r="AA108" s="2068"/>
      <c r="AB108" s="2068"/>
      <c r="AC108" s="2068"/>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02" t="str">
        <f t="shared" si="25"/>
        <v>(含)-</v>
      </c>
      <c r="L109" s="3003" t="str">
        <f t="shared" si="25"/>
        <v>(含)-</v>
      </c>
      <c r="M109" s="3004"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669"/>
      <c r="B110" s="681"/>
      <c r="C110" s="730"/>
      <c r="D110" s="730"/>
      <c r="E110" s="730"/>
      <c r="F110" s="730"/>
      <c r="G110" s="730"/>
      <c r="H110" s="730"/>
      <c r="I110" s="730"/>
      <c r="J110" s="731"/>
      <c r="K110" s="731"/>
      <c r="L110" s="732"/>
      <c r="M110" s="733"/>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00"/>
      <c r="D111" s="726"/>
      <c r="E111" s="726"/>
      <c r="F111" s="726"/>
      <c r="G111" s="726"/>
      <c r="H111" s="726"/>
      <c r="I111" s="726"/>
      <c r="J111" s="726"/>
      <c r="K111" s="726"/>
      <c r="L111" s="726"/>
      <c r="M111" s="727"/>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73" t="s">
        <v>592</v>
      </c>
      <c r="C112" s="718"/>
      <c r="D112" s="718"/>
      <c r="E112" s="718"/>
      <c r="F112" s="718"/>
      <c r="G112" s="718"/>
      <c r="H112" s="718"/>
      <c r="I112" s="718"/>
      <c r="J112" s="718"/>
      <c r="K112" s="719"/>
      <c r="L112" s="720"/>
      <c r="M112" s="721"/>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064"/>
      <c r="O113" s="2064"/>
      <c r="P113" s="2063"/>
      <c r="Q113" s="2056"/>
      <c r="R113" s="2043"/>
      <c r="S113" s="2043"/>
      <c r="T113" s="2043"/>
      <c r="U113" s="2043"/>
      <c r="V113" s="2043"/>
      <c r="W113" s="2043"/>
      <c r="X113" s="2043"/>
      <c r="Y113" s="2043"/>
      <c r="Z113" s="2043"/>
      <c r="AA113" s="2043"/>
      <c r="AB113" s="2043"/>
      <c r="AC113" s="2043"/>
    </row>
    <row r="114" spans="1:29" s="1339" customFormat="1" ht="15" thickTop="1">
      <c r="A114" s="728"/>
      <c r="B114" s="1794" t="s">
        <v>2421</v>
      </c>
      <c r="C114" s="1376"/>
      <c r="D114" s="1376"/>
      <c r="E114" s="1376"/>
      <c r="F114" s="1376"/>
      <c r="G114" s="1376"/>
      <c r="H114" s="718"/>
      <c r="I114" s="718"/>
      <c r="J114" s="718"/>
      <c r="K114" s="719"/>
      <c r="L114" s="720"/>
      <c r="M114" s="721"/>
      <c r="N114" s="2065"/>
      <c r="O114" s="2065"/>
      <c r="P114" s="2066"/>
      <c r="Q114" s="2067"/>
      <c r="R114" s="2068"/>
      <c r="S114" s="2068"/>
      <c r="T114" s="2068"/>
      <c r="U114" s="2068"/>
      <c r="V114" s="2068"/>
      <c r="W114" s="2068"/>
      <c r="X114" s="2068"/>
      <c r="Y114" s="2068"/>
      <c r="Z114" s="2068"/>
      <c r="AA114" s="2068"/>
      <c r="AB114" s="2068"/>
      <c r="AC114" s="206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735"/>
      <c r="B116" s="673" t="s">
        <v>594</v>
      </c>
      <c r="C116" s="688"/>
      <c r="D116" s="688"/>
      <c r="E116" s="718"/>
      <c r="F116" s="718"/>
      <c r="G116" s="71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f>B40</f>
        <v>111</v>
      </c>
      <c r="C118" s="688"/>
      <c r="D118" s="688"/>
      <c r="E118" s="688"/>
      <c r="F118" s="688"/>
      <c r="G118" s="68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ht="15" thickTop="1">
      <c r="A120" s="735"/>
      <c r="B120" s="673">
        <f>B41</f>
        <v>111</v>
      </c>
      <c r="C120" s="688"/>
      <c r="D120" s="688"/>
      <c r="E120" s="688"/>
      <c r="F120" s="688"/>
      <c r="G120" s="718"/>
      <c r="H120" s="718"/>
      <c r="I120" s="718"/>
      <c r="J120" s="718"/>
      <c r="K120" s="719"/>
      <c r="L120" s="720"/>
      <c r="M120" s="721"/>
      <c r="N120" s="2062"/>
      <c r="O120" s="2062"/>
      <c r="P120" s="2063"/>
      <c r="Q120" s="2056"/>
      <c r="R120" s="2043"/>
      <c r="S120" s="2043"/>
      <c r="T120" s="2043"/>
      <c r="U120" s="2043"/>
      <c r="V120" s="2043"/>
      <c r="W120" s="2043"/>
      <c r="X120" s="2043"/>
      <c r="Y120" s="2043"/>
      <c r="Z120" s="2043"/>
      <c r="AA120" s="2043"/>
      <c r="AB120" s="2043"/>
      <c r="AC120" s="2043"/>
    </row>
    <row r="121" spans="1:29" ht="15.75" thickBot="1">
      <c r="A121" s="669"/>
      <c r="B121" s="678"/>
      <c r="C121" s="692"/>
      <c r="D121" s="692"/>
      <c r="E121" s="692"/>
      <c r="F121" s="692"/>
      <c r="G121" s="671"/>
      <c r="H121" s="671"/>
      <c r="I121" s="671"/>
      <c r="J121" s="671"/>
      <c r="K121" s="671"/>
      <c r="L121" s="671"/>
      <c r="M121" s="672"/>
      <c r="N121" s="2064"/>
      <c r="O121" s="2064"/>
      <c r="P121" s="2063"/>
      <c r="Q121" s="2056"/>
      <c r="R121" s="2043"/>
      <c r="S121" s="2043"/>
      <c r="T121" s="2043"/>
      <c r="U121" s="2043"/>
      <c r="V121" s="2043"/>
      <c r="W121" s="2043"/>
      <c r="X121" s="2043"/>
      <c r="Y121" s="2043"/>
      <c r="Z121" s="2043"/>
      <c r="AA121" s="2043"/>
      <c r="AB121" s="2043"/>
      <c r="AC121" s="2043"/>
    </row>
    <row r="122" spans="1:29" s="1339" customFormat="1" ht="15" thickTop="1">
      <c r="A122" s="728"/>
      <c r="B122" s="673">
        <f>B42</f>
        <v>111</v>
      </c>
      <c r="C122" s="661"/>
      <c r="D122" s="661"/>
      <c r="E122" s="661"/>
      <c r="F122" s="661"/>
      <c r="G122" s="689"/>
      <c r="H122" s="689"/>
      <c r="I122" s="689"/>
      <c r="J122" s="689"/>
      <c r="K122" s="689"/>
      <c r="L122" s="690"/>
      <c r="M122" s="691"/>
      <c r="N122" s="2065"/>
      <c r="O122" s="2065"/>
      <c r="P122" s="2066"/>
      <c r="Q122" s="2067"/>
      <c r="R122" s="2068"/>
      <c r="S122" s="2068"/>
      <c r="T122" s="2068"/>
      <c r="U122" s="2068"/>
      <c r="V122" s="2068"/>
      <c r="W122" s="2068"/>
      <c r="X122" s="2068"/>
      <c r="Y122" s="2068"/>
      <c r="Z122" s="2068"/>
      <c r="AA122" s="2068"/>
      <c r="AB122" s="2068"/>
      <c r="AC122" s="2068"/>
    </row>
    <row r="123" spans="1:29" s="1339" customFormat="1" ht="15.75" thickBot="1">
      <c r="A123" s="698"/>
      <c r="B123" s="736"/>
      <c r="C123" s="700"/>
      <c r="D123" s="700"/>
      <c r="E123" s="700"/>
      <c r="F123" s="700"/>
      <c r="G123" s="726"/>
      <c r="H123" s="726"/>
      <c r="I123" s="726"/>
      <c r="J123" s="726"/>
      <c r="K123" s="726"/>
      <c r="L123" s="726"/>
      <c r="M123" s="727"/>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2422</v>
      </c>
      <c r="D1" s="1522">
        <f>SUM(D29:D30,D33:D39)</f>
        <v>0</v>
      </c>
      <c r="E1" s="1407" t="s">
        <v>2423</v>
      </c>
      <c r="F1" s="2373"/>
      <c r="G1" s="1402"/>
      <c r="H1" s="1402"/>
      <c r="I1" s="1402"/>
      <c r="J1" s="1402"/>
      <c r="K1" s="1402"/>
      <c r="L1" s="1780" t="s">
        <v>2236</v>
      </c>
      <c r="M1" s="1781">
        <f>SUMPRODUCT((区片价!B5:B9=I2)*(区片价!C3:F3=E2)*(区片价!C5:F9))</f>
        <v>0</v>
      </c>
      <c r="N1" s="1782">
        <f>SUMPRODUCT((因素修正幅度!B5:B9=I2)*(因素修正幅度!C3:F3=E2)*(因素修正幅度!C5:F9))</f>
        <v>0</v>
      </c>
      <c r="O1" s="2087"/>
      <c r="P1" s="2087"/>
      <c r="Q1" s="2087"/>
      <c r="R1" s="2851" t="s">
        <v>2761</v>
      </c>
      <c r="S1" s="2851" t="s">
        <v>2762</v>
      </c>
      <c r="T1" s="2851" t="s">
        <v>2783</v>
      </c>
      <c r="U1" s="2851" t="s">
        <v>2784</v>
      </c>
      <c r="V1" s="2851" t="s">
        <v>2785</v>
      </c>
      <c r="W1" s="2087"/>
      <c r="X1" s="2087"/>
      <c r="Y1" s="2087"/>
      <c r="Z1" s="2087"/>
      <c r="AA1" s="2087"/>
      <c r="AB1" s="2087"/>
      <c r="AC1" s="2088"/>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783" t="s">
        <v>2237</v>
      </c>
      <c r="M2" s="1784">
        <f>SUMPRODUCT((区片价!B10:B28=I2)*(区片价!C3:F3=E2)*(区片价!C10:F28))</f>
        <v>0</v>
      </c>
      <c r="N2" s="1785">
        <f>SUMPRODUCT((因素修正幅度!B10:B28=I2)*(因素修正幅度!C3:F3=E2)*(因素修正幅度!C10:F28))</f>
        <v>0</v>
      </c>
      <c r="O2" s="2087"/>
      <c r="P2" s="2087"/>
      <c r="Q2" s="2087"/>
      <c r="R2" s="2852">
        <v>1</v>
      </c>
      <c r="S2" s="2852">
        <f>ROUND(IF(G3&gt;1,IF(R2&lt;7,SUMPRODUCT((B93:B98=R2)*(C92:N92=G2)*(C93:N98)),SUMIF(C92:N92,G2,C100:N100)),IF(R2&lt;7,SUMPRODUCT((B102:B107=R2)*(C92:N92=G2)*(C102:N107)),SUMIF(C92:N92,G2,C109:N109))),4)</f>
        <v>0</v>
      </c>
      <c r="T2" s="2852" t="e">
        <f>ROUND($C$5*$C$18*$C$19*$C$20*S2*$C$24,0)</f>
        <v>#DIV/0!</v>
      </c>
      <c r="U2" s="2841"/>
      <c r="V2" s="2852" t="e">
        <f>ROUND(T2*U2/10000,0)</f>
        <v>#DIV/0!</v>
      </c>
      <c r="W2" s="2087"/>
      <c r="X2" s="2087"/>
      <c r="Y2" s="2087"/>
      <c r="Z2" s="2087"/>
      <c r="AA2" s="2087"/>
      <c r="AB2" s="2087"/>
      <c r="AC2" s="2088"/>
    </row>
    <row r="3" spans="1:39" ht="15.75">
      <c r="A3" s="1412" t="s">
        <v>1686</v>
      </c>
      <c r="B3" s="1038" t="e">
        <f>ROUND(B2*10000/D1,0)</f>
        <v>#DIV/0!</v>
      </c>
      <c r="C3" s="1408" t="s">
        <v>925</v>
      </c>
      <c r="D3" s="1409" t="s">
        <v>926</v>
      </c>
      <c r="E3" s="1413"/>
      <c r="F3" s="1414" t="s">
        <v>2923</v>
      </c>
      <c r="G3" s="1039">
        <f>IF(F3="宗地容积率",'数据-汇总表'!I4,IF(F3="估价对象容积率",'数据-汇总表'!I6,'数据-汇总表'!I7))</f>
        <v>1.4</v>
      </c>
      <c r="H3" s="1415" t="s">
        <v>927</v>
      </c>
      <c r="I3" s="1040">
        <v>8</v>
      </c>
      <c r="J3" s="1411" t="s">
        <v>928</v>
      </c>
      <c r="K3" s="1402"/>
      <c r="L3" s="1783" t="s">
        <v>2238</v>
      </c>
      <c r="M3" s="1784">
        <f>SUMPRODUCT((区片价!B29:B48=I2)*(区片价!C3:F3=E2)*(区片价!C29:F48))</f>
        <v>0</v>
      </c>
      <c r="N3" s="1785">
        <f>SUMPRODUCT((因素修正幅度!B29:B48=I2)*(因素修正幅度!C3:F3=E2)*(因素修正幅度!C29:F48))</f>
        <v>0</v>
      </c>
      <c r="O3" s="2087"/>
      <c r="P3" s="2087"/>
      <c r="Q3" s="2087"/>
      <c r="R3" s="2852">
        <v>2</v>
      </c>
      <c r="S3" s="2852">
        <f>ROUND(IF(G3&gt;1,IF(R3&lt;7,SUMPRODUCT((B93:B98=R3)*(C92:N92=G2)*(C93:N98)),SUMIF(C92:N92,G2,C100:N100)),IF(R3&lt;7,SUMPRODUCT((B102:B107=R3)*(C92:N92=G2)*(C102:N107)),SUMIF(C92:N92,G2,C109:N109))),4)</f>
        <v>0</v>
      </c>
      <c r="T3" s="2852" t="e">
        <f t="shared" ref="T3:T16" si="0">ROUND($C$5*$C$18*$C$19*$C$20*S3*$C$24,0)</f>
        <v>#DIV/0!</v>
      </c>
      <c r="U3" s="2841"/>
      <c r="V3" s="2852" t="e">
        <f t="shared" ref="V3:V16" si="1">ROUND(T3*U3/10000,0)</f>
        <v>#DIV/0!</v>
      </c>
      <c r="W3" s="2087"/>
      <c r="X3" s="2087"/>
      <c r="Y3" s="2087"/>
      <c r="Z3" s="2087"/>
      <c r="AA3" s="2087"/>
      <c r="AB3" s="2087"/>
      <c r="AC3" s="2088"/>
    </row>
    <row r="4" spans="1:39" ht="28.5">
      <c r="A4" s="1789" t="s">
        <v>2278</v>
      </c>
      <c r="B4" s="2374" t="e">
        <f>ROUND(B2*10000/F1,0)</f>
        <v>#DIV/0!</v>
      </c>
      <c r="C4" s="1792" t="s">
        <v>2252</v>
      </c>
      <c r="D4" s="1792" t="e">
        <f>ROUND(B2/(F1/666.67),0)</f>
        <v>#DIV/0!</v>
      </c>
      <c r="E4" s="1792" t="s">
        <v>2253</v>
      </c>
      <c r="F4" s="1790"/>
      <c r="G4" s="1790"/>
      <c r="H4" s="1790"/>
      <c r="I4" s="1790"/>
      <c r="J4" s="1791"/>
      <c r="K4" s="1402"/>
      <c r="L4" s="1783" t="s">
        <v>2239</v>
      </c>
      <c r="M4" s="1784">
        <f>SUMPRODUCT((区片价!B49:B75=I2)*(区片价!C3:F3=E2)*(区片价!C49:F75))</f>
        <v>0</v>
      </c>
      <c r="N4" s="1785">
        <f>SUMPRODUCT((因素修正幅度!B49:B75=I2)*(因素修正幅度!C3:F3=E2)*(因素修正幅度!C49:F75))</f>
        <v>0</v>
      </c>
      <c r="O4" s="2087"/>
      <c r="P4" s="2087"/>
      <c r="Q4" s="2087"/>
      <c r="R4" s="2852">
        <v>3</v>
      </c>
      <c r="S4" s="2852">
        <f>ROUND(IF(G3&gt;1,IF(R4&lt;7,SUMPRODUCT((B93:B98=R4)*(C92:N92=G2)*(C93:N98)),SUMIF(C92:N92,G2,C100:N100)),IF(R4&lt;7,SUMPRODUCT((B102:B107=R4)*(C92:N92=G2)*(C102:N107)),SUMIF(C92:N92,G2,C109:N109))),4)</f>
        <v>0</v>
      </c>
      <c r="T4" s="2852" t="e">
        <f t="shared" si="0"/>
        <v>#DIV/0!</v>
      </c>
      <c r="U4" s="2841"/>
      <c r="V4" s="2852" t="e">
        <f t="shared" si="1"/>
        <v>#DIV/0!</v>
      </c>
      <c r="W4" s="2087"/>
      <c r="X4" s="2087"/>
      <c r="Y4" s="2087"/>
      <c r="Z4" s="2087"/>
      <c r="AA4" s="2087"/>
      <c r="AB4" s="2087"/>
      <c r="AC4" s="2088"/>
    </row>
    <row r="5" spans="1:39" s="1422" customFormat="1" ht="15.75" thickBot="1">
      <c r="A5" s="1639" t="s">
        <v>1822</v>
      </c>
      <c r="B5" s="1416" t="s">
        <v>929</v>
      </c>
      <c r="C5" s="1041" t="e">
        <f>ROUND(IF(E2="商业",IF(F16="增加",C6*C7+C16,C6*C7-C16),IF(E2="住宅",IF(F16="增加",C6*C12+C16,C6*C12-C16),IF(F16="增加",C6+C16,C6-C16))),0)</f>
        <v>#DIV/0!</v>
      </c>
      <c r="D5" s="3034">
        <f>ROUND(IF(E2="商业",IF(F16="增加",C6+C16,C6-C16)),0)</f>
        <v>0</v>
      </c>
      <c r="E5" s="1417"/>
      <c r="F5" s="1417"/>
      <c r="G5" s="1418"/>
      <c r="H5" s="1418"/>
      <c r="I5" s="1418"/>
      <c r="J5" s="1419"/>
      <c r="K5" s="1595"/>
      <c r="L5" s="1783" t="s">
        <v>2240</v>
      </c>
      <c r="M5" s="1784">
        <f>SUMPRODUCT((区片价!B76:B109=I2)*(区片价!C3:F3=E2)*(区片价!C76:F109))</f>
        <v>0</v>
      </c>
      <c r="N5" s="1785">
        <f>SUMPRODUCT((因素修正幅度!B76:B109=I2)*(因素修正幅度!C3:F3=E2)*(因素修正幅度!C76:F109))</f>
        <v>0</v>
      </c>
      <c r="O5" s="2087"/>
      <c r="P5" s="2087"/>
      <c r="Q5" s="2087"/>
      <c r="R5" s="2852">
        <v>4</v>
      </c>
      <c r="S5" s="2852">
        <f>ROUND(IF(G3&gt;1,IF(R5&lt;7,SUMPRODUCT((B93:B98=R5)*(C92:N92=G2)*(C93:N98)),SUMIF(C92:N92,G2,C100:N100)),IF(R5&lt;7,SUMPRODUCT((B102:B107=R5)*(C92:N92=G2)*(C102:N107)),SUMIF(C92:N92,G2,C109:N109))),4)</f>
        <v>0</v>
      </c>
      <c r="T5" s="2852" t="e">
        <f t="shared" si="0"/>
        <v>#DIV/0!</v>
      </c>
      <c r="U5" s="2841"/>
      <c r="V5" s="2852" t="e">
        <f t="shared" si="1"/>
        <v>#DIV/0!</v>
      </c>
      <c r="W5" s="2087"/>
      <c r="X5" s="2087"/>
      <c r="Y5" s="2087"/>
      <c r="Z5" s="2087"/>
      <c r="AA5" s="2087"/>
      <c r="AB5" s="2087"/>
      <c r="AC5" s="2089"/>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783" t="s">
        <v>2241</v>
      </c>
      <c r="M6" s="1784">
        <f>SUMPRODUCT((区片价!B110:B157=I2)*(区片价!C3:F3=E2)*(区片价!C110:F157))</f>
        <v>0</v>
      </c>
      <c r="N6" s="1785">
        <f>SUMPRODUCT((因素修正幅度!B110:B157=I2)*(因素修正幅度!C3:F3=E2)*(因素修正幅度!C110:F157))</f>
        <v>0</v>
      </c>
      <c r="O6" s="2087"/>
      <c r="P6" s="2087"/>
      <c r="Q6" s="2087"/>
      <c r="R6" s="2852">
        <v>5</v>
      </c>
      <c r="S6" s="2852">
        <f>ROUND(IF(G3&gt;1,IF(R6&lt;7,SUMPRODUCT((B93:B98=R6)*(C92:N92=G2)*(C93:N98)),SUMIF(C92:N92,G2,C100:N100)),IF(R6&lt;7,SUMPRODUCT((B102:B107=R6)*(C92:N92=G2)*(C102:N107)),SUMIF(C92:N92,G2,C109:N109))),4)</f>
        <v>0</v>
      </c>
      <c r="T6" s="2852" t="e">
        <f t="shared" si="0"/>
        <v>#DIV/0!</v>
      </c>
      <c r="U6" s="2841"/>
      <c r="V6" s="2852" t="e">
        <f t="shared" si="1"/>
        <v>#DIV/0!</v>
      </c>
      <c r="W6" s="2087"/>
      <c r="X6" s="2087"/>
      <c r="Y6" s="2087"/>
      <c r="Z6" s="2087"/>
      <c r="AA6" s="2087"/>
      <c r="AB6" s="2087"/>
      <c r="AC6" s="2089"/>
      <c r="AD6" s="1420"/>
      <c r="AE6" s="1420"/>
      <c r="AF6" s="1420"/>
      <c r="AG6" s="1420"/>
      <c r="AH6" s="1420"/>
      <c r="AI6" s="1420"/>
      <c r="AJ6" s="1421"/>
    </row>
    <row r="7" spans="1:39" ht="24">
      <c r="A7" s="3589" t="str">
        <f>IF(E2="商业",IF(C8="不临58条商业街","",2),"")</f>
        <v/>
      </c>
      <c r="B7" s="1428" t="s">
        <v>930</v>
      </c>
      <c r="C7" s="1043" t="e">
        <f>IF(C8="不临58条商业街",1,ROUND(1+(1.6*E8+1.2*E9+0.8*E10+0.4*E11)*C9,4))</f>
        <v>#DIV/0!</v>
      </c>
      <c r="D7" s="1429" t="s">
        <v>931</v>
      </c>
      <c r="E7" s="1044"/>
      <c r="F7" s="1430"/>
      <c r="G7" s="1431"/>
      <c r="H7" s="1431"/>
      <c r="I7" s="1431"/>
      <c r="J7" s="1432"/>
      <c r="K7" s="1596"/>
      <c r="L7" s="1783" t="s">
        <v>2242</v>
      </c>
      <c r="M7" s="1784">
        <f>SUMPRODUCT((区片价!B158:B205=I2)*(区片价!C3:F3=E2)*(区片价!C158:F205))</f>
        <v>0</v>
      </c>
      <c r="N7" s="1785">
        <f>SUMPRODUCT((因素修正幅度!B158:B205=I2)*(因素修正幅度!C3:F3=E2)*(因素修正幅度!C158:F205))</f>
        <v>0</v>
      </c>
      <c r="O7" s="2087"/>
      <c r="P7" s="2087"/>
      <c r="Q7" s="2087"/>
      <c r="R7" s="2852">
        <v>6</v>
      </c>
      <c r="S7" s="2852">
        <f>ROUND(IF(G3&gt;1,IF(R7&lt;7,SUMPRODUCT((B93:B98=R7)*(C92:N92=G2)*(C93:N98)),SUMIF(C92:N92,G2,C100:N100)),IF(R7&lt;7,SUMPRODUCT((B102:B107=R7)*(C92:N92=G2)*(C102:N107)),SUMIF(C92:N92,G2,C109:N109))),4)</f>
        <v>0</v>
      </c>
      <c r="T7" s="2852" t="e">
        <f t="shared" si="0"/>
        <v>#DIV/0!</v>
      </c>
      <c r="U7" s="2841"/>
      <c r="V7" s="2852" t="e">
        <f t="shared" si="1"/>
        <v>#DIV/0!</v>
      </c>
      <c r="W7" s="2850" t="s">
        <v>2764</v>
      </c>
      <c r="X7" s="2842">
        <f>G2</f>
        <v>0</v>
      </c>
      <c r="Y7" s="2842" t="s">
        <v>2765</v>
      </c>
      <c r="Z7" s="2843">
        <f>G3</f>
        <v>1.4</v>
      </c>
      <c r="AA7" s="2090"/>
      <c r="AB7" s="2090"/>
      <c r="AC7" s="2091"/>
      <c r="AD7" s="2844"/>
      <c r="AE7" s="2844"/>
      <c r="AF7" s="2844"/>
      <c r="AG7" s="2844"/>
      <c r="AH7" s="2844"/>
      <c r="AI7" s="2844"/>
      <c r="AJ7" s="2845"/>
    </row>
    <row r="8" spans="1:39" ht="15">
      <c r="A8" s="3590"/>
      <c r="B8" s="1415" t="s">
        <v>932</v>
      </c>
      <c r="C8" s="1530"/>
      <c r="D8" s="1045" t="s">
        <v>933</v>
      </c>
      <c r="E8" s="1046" t="e">
        <f>ROUND(C11/E7,4)</f>
        <v>#DIV/0!</v>
      </c>
      <c r="F8" s="1433" t="s">
        <v>934</v>
      </c>
      <c r="G8" s="1434"/>
      <c r="H8" s="1434"/>
      <c r="I8" s="1434"/>
      <c r="J8" s="1435"/>
      <c r="K8" s="1402"/>
      <c r="L8" s="1783" t="s">
        <v>2243</v>
      </c>
      <c r="M8" s="1784">
        <f>SUMPRODUCT((区片价!B206:B244=I2)*(区片价!C3:F3=E2)*(区片价!C206:F244))</f>
        <v>0</v>
      </c>
      <c r="N8" s="1785">
        <f>SUMPRODUCT((因素修正幅度!B206:B244=I2)*(因素修正幅度!C3:F3=E2)*(因素修正幅度!C206:F244))</f>
        <v>0</v>
      </c>
      <c r="O8" s="2087"/>
      <c r="P8" s="2087"/>
      <c r="Q8" s="2087"/>
      <c r="R8" s="2852">
        <v>7</v>
      </c>
      <c r="S8" s="2841"/>
      <c r="T8" s="2852" t="e">
        <f t="shared" si="0"/>
        <v>#DIV/0!</v>
      </c>
      <c r="U8" s="2841"/>
      <c r="V8" s="2852" t="e">
        <f t="shared" si="1"/>
        <v>#DIV/0!</v>
      </c>
      <c r="W8" s="3599" t="s">
        <v>2782</v>
      </c>
      <c r="X8" s="3600"/>
      <c r="Y8" s="1747" t="s">
        <v>2766</v>
      </c>
      <c r="Z8" s="1747" t="s">
        <v>2767</v>
      </c>
      <c r="AA8" s="1747" t="s">
        <v>2768</v>
      </c>
      <c r="AB8" s="1747" t="s">
        <v>2769</v>
      </c>
      <c r="AC8" s="1747" t="s">
        <v>2770</v>
      </c>
      <c r="AD8" s="1747" t="s">
        <v>2771</v>
      </c>
      <c r="AE8" s="1747" t="s">
        <v>2772</v>
      </c>
      <c r="AF8" s="1747" t="s">
        <v>2773</v>
      </c>
      <c r="AG8" s="1747" t="s">
        <v>2774</v>
      </c>
      <c r="AH8" s="1747" t="s">
        <v>2775</v>
      </c>
      <c r="AI8" s="1747" t="s">
        <v>2776</v>
      </c>
      <c r="AJ8" s="1747" t="s">
        <v>2777</v>
      </c>
    </row>
    <row r="9" spans="1:39" ht="15">
      <c r="A9" s="3590"/>
      <c r="B9" s="1415" t="s">
        <v>935</v>
      </c>
      <c r="C9" s="1047">
        <f>SUMIF(修正!C59:C119,C8,修正!E59:E119)</f>
        <v>0</v>
      </c>
      <c r="D9" s="1048" t="s">
        <v>936</v>
      </c>
      <c r="E9" s="1048" t="e">
        <f>ROUND(C11/E7,4)</f>
        <v>#DIV/0!</v>
      </c>
      <c r="F9" s="1433" t="s">
        <v>937</v>
      </c>
      <c r="G9" s="1434"/>
      <c r="H9" s="1434"/>
      <c r="I9" s="1434"/>
      <c r="J9" s="1435"/>
      <c r="K9" s="1402"/>
      <c r="L9" s="1783" t="s">
        <v>2244</v>
      </c>
      <c r="M9" s="1784">
        <f>SUMPRODUCT((区片价!B245:B289=I2)*(区片价!C3:F3=E2)*(区片价!C245:F289))</f>
        <v>0</v>
      </c>
      <c r="N9" s="1785">
        <f>SUMPRODUCT((因素修正幅度!B245:B289=I2)*(因素修正幅度!C3:F3=E2)*(因素修正幅度!C245:F289))</f>
        <v>0</v>
      </c>
      <c r="O9" s="2087"/>
      <c r="P9" s="2087"/>
      <c r="Q9" s="2087"/>
      <c r="R9" s="2852">
        <v>8</v>
      </c>
      <c r="S9" s="2841"/>
      <c r="T9" s="2852" t="e">
        <f t="shared" si="0"/>
        <v>#DIV/0!</v>
      </c>
      <c r="U9" s="2841"/>
      <c r="V9" s="2852" t="e">
        <f t="shared" si="1"/>
        <v>#DIV/0!</v>
      </c>
      <c r="W9" s="3598" t="s">
        <v>2778</v>
      </c>
      <c r="X9" s="2846" t="s">
        <v>2779</v>
      </c>
      <c r="Y9" s="3008"/>
      <c r="Z9" s="2847">
        <f>$Y$9</f>
        <v>0</v>
      </c>
      <c r="AA9" s="2847">
        <f t="shared" ref="AA9:AJ9" si="2">$Y$9</f>
        <v>0</v>
      </c>
      <c r="AB9" s="2847">
        <f t="shared" si="2"/>
        <v>0</v>
      </c>
      <c r="AC9" s="2847">
        <f t="shared" si="2"/>
        <v>0</v>
      </c>
      <c r="AD9" s="2847">
        <f t="shared" si="2"/>
        <v>0</v>
      </c>
      <c r="AE9" s="2847">
        <f t="shared" si="2"/>
        <v>0</v>
      </c>
      <c r="AF9" s="2847">
        <f t="shared" si="2"/>
        <v>0</v>
      </c>
      <c r="AG9" s="2847">
        <f t="shared" si="2"/>
        <v>0</v>
      </c>
      <c r="AH9" s="2847">
        <f t="shared" si="2"/>
        <v>0</v>
      </c>
      <c r="AI9" s="2847">
        <f t="shared" si="2"/>
        <v>0</v>
      </c>
      <c r="AJ9" s="2847">
        <f t="shared" si="2"/>
        <v>0</v>
      </c>
    </row>
    <row r="10" spans="1:39" ht="15">
      <c r="A10" s="3590"/>
      <c r="B10" s="1415" t="s">
        <v>938</v>
      </c>
      <c r="C10" s="1048">
        <f>SUMIF(修正!C59:C119,C8,修正!F59:F119)</f>
        <v>0</v>
      </c>
      <c r="D10" s="1048" t="s">
        <v>939</v>
      </c>
      <c r="E10" s="1048" t="e">
        <f>ROUND(C11/E7,4)</f>
        <v>#DIV/0!</v>
      </c>
      <c r="F10" s="1433" t="s">
        <v>940</v>
      </c>
      <c r="G10" s="1434"/>
      <c r="H10" s="1434"/>
      <c r="I10" s="1434"/>
      <c r="J10" s="1435"/>
      <c r="K10" s="1402"/>
      <c r="L10" s="1783" t="s">
        <v>2245</v>
      </c>
      <c r="M10" s="1784">
        <f>SUMPRODUCT((区片价!B290:B316=I2)*(区片价!C3:F3=E2)*(区片价!C290:F316))</f>
        <v>0</v>
      </c>
      <c r="N10" s="1785">
        <f>SUMPRODUCT((因素修正幅度!B290:B316=I2)*(因素修正幅度!C3:F3=E2)*(因素修正幅度!C290:F316))</f>
        <v>0</v>
      </c>
      <c r="O10" s="2087"/>
      <c r="P10" s="2087"/>
      <c r="Q10" s="2087"/>
      <c r="R10" s="2852">
        <v>9</v>
      </c>
      <c r="S10" s="2841"/>
      <c r="T10" s="2852" t="e">
        <f t="shared" si="0"/>
        <v>#DIV/0!</v>
      </c>
      <c r="U10" s="2841"/>
      <c r="V10" s="2852" t="e">
        <f t="shared" si="1"/>
        <v>#DIV/0!</v>
      </c>
      <c r="W10" s="3598"/>
      <c r="X10" s="2846">
        <v>7</v>
      </c>
      <c r="Y10" s="2848">
        <f>(-0.163*(Y9^2)-0.59*Y9+7617)*(10^(-4))</f>
        <v>0.76170000000000004</v>
      </c>
      <c r="Z10" s="2848">
        <f>(-0.163*(Z9^2)-0.59*Z9+7617)*(10^(-4))</f>
        <v>0.76170000000000004</v>
      </c>
      <c r="AA10" s="2848">
        <f>(-0.161*(AA9^2)-7.509*AA9+6533)*(10^(-4))</f>
        <v>0.65329999999999999</v>
      </c>
      <c r="AB10" s="2848">
        <f>(-0.161*(AB9^2)-7.509*AB9+6533)*(10^(-4))</f>
        <v>0.65329999999999999</v>
      </c>
      <c r="AC10" s="2848">
        <f>(-0.161*(AC9^2)-7.509*AC9+6533)*(10^(-4))</f>
        <v>0.65329999999999999</v>
      </c>
      <c r="AD10" s="2848">
        <f>(-0.161*(AD9^2)-7.509*AD9+6533)*(10^(-4))</f>
        <v>0.65329999999999999</v>
      </c>
      <c r="AE10" s="2848">
        <f>(-0.161*(AE9^2)-7.509*AE9+6533)*(10^(-4))</f>
        <v>0.65329999999999999</v>
      </c>
      <c r="AF10" s="2848">
        <f>(-0.214*(AF9^2)-21.991*AF9+4665)*(10^(-4))</f>
        <v>0.46650000000000003</v>
      </c>
      <c r="AG10" s="2848">
        <f>(-0.214*(AG9^2)-21.991*AG9+4665)*(10^(-4))</f>
        <v>0.46650000000000003</v>
      </c>
      <c r="AH10" s="2848">
        <f>(-0.214*(AH9^2)-21.991*AH9+4665)*(10^(-4))</f>
        <v>0.46650000000000003</v>
      </c>
      <c r="AI10" s="2848">
        <f>(-0.214*(AI9^2)-21.991*AI9+4665)*(10^(-4))</f>
        <v>0.46650000000000003</v>
      </c>
      <c r="AJ10" s="2848">
        <f>(-0.214*(AJ9^2)-21.991*AJ9+4665)*(10^(-4))</f>
        <v>0.46650000000000003</v>
      </c>
    </row>
    <row r="11" spans="1:39" ht="15.75" customHeight="1" thickBot="1">
      <c r="A11" s="3590"/>
      <c r="B11" s="1436" t="s">
        <v>941</v>
      </c>
      <c r="C11" s="1049">
        <f>C10/4</f>
        <v>0</v>
      </c>
      <c r="D11" s="1049" t="s">
        <v>942</v>
      </c>
      <c r="E11" s="1049" t="e">
        <f>ROUND(C11/E7,4)</f>
        <v>#DIV/0!</v>
      </c>
      <c r="F11" s="1437" t="s">
        <v>943</v>
      </c>
      <c r="G11" s="1438"/>
      <c r="H11" s="1438"/>
      <c r="I11" s="1438"/>
      <c r="J11" s="1439"/>
      <c r="K11" s="1402"/>
      <c r="L11" s="1783" t="s">
        <v>2246</v>
      </c>
      <c r="M11" s="1784">
        <f>SUMPRODUCT((区片价!B317:B337=I2)*(区片价!C3:F3=E2)*(区片价!C317:F337))</f>
        <v>0</v>
      </c>
      <c r="N11" s="1785">
        <f>SUMPRODUCT((因素修正幅度!B317:B337=I2)*(因素修正幅度!C3:F3=E2)*(因素修正幅度!C317:F337))</f>
        <v>0</v>
      </c>
      <c r="O11" s="2087"/>
      <c r="P11" s="2087"/>
      <c r="Q11" s="2087"/>
      <c r="R11" s="2852">
        <v>10</v>
      </c>
      <c r="S11" s="2841"/>
      <c r="T11" s="2852" t="e">
        <f t="shared" si="0"/>
        <v>#DIV/0!</v>
      </c>
      <c r="U11" s="2841"/>
      <c r="V11" s="2852" t="e">
        <f t="shared" si="1"/>
        <v>#DIV/0!</v>
      </c>
      <c r="W11" s="3598" t="s">
        <v>2780</v>
      </c>
      <c r="X11" s="1048" t="s">
        <v>2765</v>
      </c>
      <c r="Y11" s="1654">
        <f>$G$3</f>
        <v>1.4</v>
      </c>
      <c r="Z11" s="1654">
        <f t="shared" ref="Z11:AJ11" si="3">$G$3</f>
        <v>1.4</v>
      </c>
      <c r="AA11" s="1654">
        <f t="shared" si="3"/>
        <v>1.4</v>
      </c>
      <c r="AB11" s="1654">
        <f t="shared" si="3"/>
        <v>1.4</v>
      </c>
      <c r="AC11" s="1654">
        <f t="shared" si="3"/>
        <v>1.4</v>
      </c>
      <c r="AD11" s="1654">
        <f t="shared" si="3"/>
        <v>1.4</v>
      </c>
      <c r="AE11" s="1654">
        <f t="shared" si="3"/>
        <v>1.4</v>
      </c>
      <c r="AF11" s="1654">
        <f t="shared" si="3"/>
        <v>1.4</v>
      </c>
      <c r="AG11" s="1654">
        <f t="shared" si="3"/>
        <v>1.4</v>
      </c>
      <c r="AH11" s="1654">
        <f t="shared" si="3"/>
        <v>1.4</v>
      </c>
      <c r="AI11" s="1654">
        <f t="shared" si="3"/>
        <v>1.4</v>
      </c>
      <c r="AJ11" s="1654">
        <f t="shared" si="3"/>
        <v>1.4</v>
      </c>
    </row>
    <row r="12" spans="1:39" ht="25.5" thickBot="1">
      <c r="A12" s="3589" t="s">
        <v>1870</v>
      </c>
      <c r="B12" s="1440" t="s">
        <v>944</v>
      </c>
      <c r="C12" s="1043">
        <f>ROUND(C15*D15*E15*F15*G15*H15*I15*J15,4)</f>
        <v>1</v>
      </c>
      <c r="D12" s="1441" t="s">
        <v>945</v>
      </c>
      <c r="E12" s="1442"/>
      <c r="F12" s="1442"/>
      <c r="G12" s="1443"/>
      <c r="H12" s="1443"/>
      <c r="I12" s="1443"/>
      <c r="J12" s="1444"/>
      <c r="K12" s="1402"/>
      <c r="L12" s="1786" t="s">
        <v>2247</v>
      </c>
      <c r="M12" s="1787">
        <f>SUMPRODUCT((区片价!B338:B344=I2)*(区片价!C3:F3=E2)*(区片价!C338:F344))</f>
        <v>0</v>
      </c>
      <c r="N12" s="1788">
        <f>SUMPRODUCT((因素修正幅度!B338:B344=I2)*(因素修正幅度!C3:F3=E2)*(因素修正幅度!C338:F344))</f>
        <v>0</v>
      </c>
      <c r="O12" s="2087"/>
      <c r="P12" s="2087"/>
      <c r="Q12" s="2087"/>
      <c r="R12" s="2852">
        <v>11</v>
      </c>
      <c r="S12" s="2841"/>
      <c r="T12" s="2852" t="e">
        <f t="shared" si="0"/>
        <v>#DIV/0!</v>
      </c>
      <c r="U12" s="2841"/>
      <c r="V12" s="2852" t="e">
        <f t="shared" si="1"/>
        <v>#DIV/0!</v>
      </c>
      <c r="W12" s="3598"/>
      <c r="X12" s="2849" t="s">
        <v>2781</v>
      </c>
      <c r="Y12" s="2847">
        <f t="shared" ref="Y12:AJ12" si="4">Y9</f>
        <v>0</v>
      </c>
      <c r="Z12" s="2847">
        <f t="shared" si="4"/>
        <v>0</v>
      </c>
      <c r="AA12" s="2847">
        <f t="shared" si="4"/>
        <v>0</v>
      </c>
      <c r="AB12" s="2847">
        <f t="shared" si="4"/>
        <v>0</v>
      </c>
      <c r="AC12" s="2847">
        <f t="shared" si="4"/>
        <v>0</v>
      </c>
      <c r="AD12" s="2847">
        <f t="shared" si="4"/>
        <v>0</v>
      </c>
      <c r="AE12" s="2847">
        <f t="shared" si="4"/>
        <v>0</v>
      </c>
      <c r="AF12" s="2847">
        <f t="shared" si="4"/>
        <v>0</v>
      </c>
      <c r="AG12" s="2847">
        <f t="shared" si="4"/>
        <v>0</v>
      </c>
      <c r="AH12" s="2847">
        <f t="shared" si="4"/>
        <v>0</v>
      </c>
      <c r="AI12" s="2847">
        <f t="shared" si="4"/>
        <v>0</v>
      </c>
      <c r="AJ12" s="2847">
        <f t="shared" si="4"/>
        <v>0</v>
      </c>
    </row>
    <row r="13" spans="1:39" ht="24">
      <c r="A13" s="3591"/>
      <c r="B13" s="1445" t="s">
        <v>1695</v>
      </c>
      <c r="C13" s="1446" t="s">
        <v>1696</v>
      </c>
      <c r="D13" s="1089" t="s">
        <v>1697</v>
      </c>
      <c r="E13" s="1089" t="s">
        <v>1698</v>
      </c>
      <c r="F13" s="1447" t="s">
        <v>946</v>
      </c>
      <c r="G13" s="1448" t="s">
        <v>1641</v>
      </c>
      <c r="H13" s="1449" t="s">
        <v>1641</v>
      </c>
      <c r="I13" s="1450" t="s">
        <v>1641</v>
      </c>
      <c r="J13" s="1451" t="s">
        <v>1641</v>
      </c>
      <c r="K13" s="1402"/>
      <c r="L13" s="2087"/>
      <c r="M13" s="2087"/>
      <c r="N13" s="2087"/>
      <c r="O13" s="2087"/>
      <c r="P13" s="2087"/>
      <c r="Q13" s="2087"/>
      <c r="R13" s="2852">
        <v>12</v>
      </c>
      <c r="S13" s="2841"/>
      <c r="T13" s="2852" t="e">
        <f t="shared" si="0"/>
        <v>#DIV/0!</v>
      </c>
      <c r="U13" s="2841"/>
      <c r="V13" s="2852" t="e">
        <f t="shared" si="1"/>
        <v>#DIV/0!</v>
      </c>
      <c r="W13" s="3598"/>
      <c r="X13" s="2849"/>
      <c r="Y13" s="2848">
        <f>(-0.163*(Y12^2)-0.59*Y12+7617)*(10^(-4))/Y11</f>
        <v>0.54407142857142865</v>
      </c>
      <c r="Z13" s="2848">
        <f t="shared" ref="Z13:AJ13" si="5">(-0.163*(Z12^2)-0.59*Z12+7617)*(10^(-4))/Z11</f>
        <v>0.54407142857142865</v>
      </c>
      <c r="AA13" s="2848">
        <f t="shared" si="5"/>
        <v>0.54407142857142865</v>
      </c>
      <c r="AB13" s="2848">
        <f t="shared" si="5"/>
        <v>0.54407142857142865</v>
      </c>
      <c r="AC13" s="2848">
        <f t="shared" si="5"/>
        <v>0.54407142857142865</v>
      </c>
      <c r="AD13" s="2848">
        <f t="shared" si="5"/>
        <v>0.54407142857142865</v>
      </c>
      <c r="AE13" s="2848">
        <f t="shared" si="5"/>
        <v>0.54407142857142865</v>
      </c>
      <c r="AF13" s="2848">
        <f t="shared" si="5"/>
        <v>0.54407142857142865</v>
      </c>
      <c r="AG13" s="2848">
        <f t="shared" si="5"/>
        <v>0.54407142857142865</v>
      </c>
      <c r="AH13" s="2848">
        <f t="shared" si="5"/>
        <v>0.54407142857142865</v>
      </c>
      <c r="AI13" s="2848">
        <f t="shared" si="5"/>
        <v>0.54407142857142865</v>
      </c>
      <c r="AJ13" s="2848">
        <f t="shared" si="5"/>
        <v>0.54407142857142865</v>
      </c>
    </row>
    <row r="14" spans="1:39" ht="12.75" customHeight="1" thickBot="1">
      <c r="A14" s="3591"/>
      <c r="B14" s="1452"/>
      <c r="C14" s="1453"/>
      <c r="D14" s="1454"/>
      <c r="E14" s="1454"/>
      <c r="F14" s="1455"/>
      <c r="G14" s="1456" t="s">
        <v>947</v>
      </c>
      <c r="H14" s="1457"/>
      <c r="I14" s="1458"/>
      <c r="J14" s="1459"/>
      <c r="K14" s="1402"/>
      <c r="L14" s="2087"/>
      <c r="M14" s="2087"/>
      <c r="N14" s="2087"/>
      <c r="O14" s="2087"/>
      <c r="P14" s="2087"/>
      <c r="Q14" s="2087"/>
      <c r="R14" s="2852">
        <v>13</v>
      </c>
      <c r="S14" s="2841"/>
      <c r="T14" s="2852" t="e">
        <f t="shared" si="0"/>
        <v>#DIV/0!</v>
      </c>
      <c r="U14" s="2841"/>
      <c r="V14" s="2852" t="e">
        <f t="shared" si="1"/>
        <v>#DIV/0!</v>
      </c>
      <c r="W14" s="2087"/>
      <c r="X14" s="2087"/>
      <c r="Y14" s="2087"/>
      <c r="Z14" s="2087"/>
      <c r="AA14" s="2087"/>
      <c r="AB14" s="2087"/>
      <c r="AC14" s="2088"/>
    </row>
    <row r="15" spans="1:39" ht="13.5" customHeight="1" thickBot="1">
      <c r="A15" s="3592"/>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087"/>
      <c r="R15" s="2852">
        <v>14</v>
      </c>
      <c r="S15" s="2841"/>
      <c r="T15" s="2852" t="e">
        <f t="shared" si="0"/>
        <v>#DIV/0!</v>
      </c>
      <c r="U15" s="2841"/>
      <c r="V15" s="2852" t="e">
        <f t="shared" si="1"/>
        <v>#DIV/0!</v>
      </c>
      <c r="W15" s="2087"/>
      <c r="X15" s="2087"/>
      <c r="Y15" s="2087"/>
      <c r="Z15" s="2087"/>
      <c r="AA15" s="2087"/>
      <c r="AB15" s="2087"/>
      <c r="AC15" s="2088"/>
    </row>
    <row r="16" spans="1:39" ht="24">
      <c r="A16" s="3589"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090"/>
      <c r="R16" s="2852">
        <v>15</v>
      </c>
      <c r="S16" s="2841"/>
      <c r="T16" s="2852" t="e">
        <f t="shared" si="0"/>
        <v>#DIV/0!</v>
      </c>
      <c r="U16" s="2841"/>
      <c r="V16" s="2852" t="e">
        <f t="shared" si="1"/>
        <v>#DIV/0!</v>
      </c>
      <c r="W16" s="2090"/>
      <c r="X16" s="2090"/>
      <c r="Y16" s="2090"/>
      <c r="Z16" s="2090"/>
      <c r="AA16" s="2090"/>
      <c r="AB16" s="2090"/>
      <c r="AC16" s="2091"/>
    </row>
    <row r="17" spans="1:40" ht="13.5" thickBot="1">
      <c r="A17" s="3590"/>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090"/>
      <c r="R17" s="2091"/>
      <c r="S17" s="2091"/>
      <c r="T17" s="2091"/>
      <c r="U17" s="2091"/>
      <c r="V17" s="2091"/>
      <c r="W17" s="2090"/>
      <c r="X17" s="2090"/>
      <c r="Y17" s="2090"/>
      <c r="Z17" s="2090"/>
      <c r="AA17" s="2090"/>
      <c r="AB17" s="2090"/>
      <c r="AC17" s="2091"/>
      <c r="AH17" s="1403"/>
      <c r="AI17" s="1403"/>
      <c r="AJ17" s="1406"/>
      <c r="AK17" s="1406"/>
      <c r="AL17" s="1406"/>
      <c r="AM17" s="1406"/>
    </row>
    <row r="18" spans="1:40" s="1422" customFormat="1" ht="15.75" thickBot="1">
      <c r="A18" s="1642" t="s">
        <v>1828</v>
      </c>
      <c r="B18" s="2687" t="s">
        <v>954</v>
      </c>
      <c r="C18" s="2688">
        <f>SUMIF(修正!C18:C39,E3,修正!E18:E39)</f>
        <v>0</v>
      </c>
      <c r="D18" s="2689"/>
      <c r="E18" s="2690"/>
      <c r="F18" s="2691"/>
      <c r="G18" s="2685"/>
      <c r="H18" s="2685"/>
      <c r="I18" s="2685"/>
      <c r="J18" s="2692"/>
      <c r="K18" s="1482"/>
      <c r="L18" s="1482"/>
      <c r="M18" s="1482"/>
      <c r="N18" s="1482"/>
      <c r="O18" s="1598"/>
      <c r="P18" s="1598"/>
      <c r="Q18" s="2092"/>
      <c r="R18" s="2092"/>
      <c r="S18" s="2092"/>
      <c r="T18" s="2092"/>
      <c r="U18" s="2092"/>
      <c r="V18" s="2092"/>
      <c r="W18" s="2091"/>
      <c r="X18" s="2091"/>
      <c r="Y18" s="2091"/>
      <c r="Z18" s="2091"/>
      <c r="AA18" s="2090"/>
      <c r="AB18" s="2090"/>
      <c r="AC18" s="2093"/>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ROUND(IF(H19="按公示增长率计算",SUMPRODUCT((地价!A3:A20=YEAR(G19)&amp;"-"&amp;ROUNDUP(MONTH(G19)/3,0))*(地价!X2:AB2=E2)*(地价!X3:AB20)),IF(H19="地价指数",M20/M19,(1+I19)^O19)),4)</f>
        <v>#DIV/0!</v>
      </c>
      <c r="D19" s="1475" t="s">
        <v>956</v>
      </c>
      <c r="E19" s="1058">
        <v>41640</v>
      </c>
      <c r="F19" s="1475" t="s">
        <v>957</v>
      </c>
      <c r="G19" s="1059">
        <f>'数据-取费表'!B2</f>
        <v>43095</v>
      </c>
      <c r="H19" s="1476" t="s">
        <v>2924</v>
      </c>
      <c r="I19" s="2699" t="str">
        <f>IF(H19="季度增幅（自定义）",SUMIF(N21:N24,E2,O21:O24),"")</f>
        <v/>
      </c>
      <c r="J19" s="1472"/>
      <c r="K19" s="1482"/>
      <c r="L19" s="2955" t="s">
        <v>2840</v>
      </c>
      <c r="M19" s="2956">
        <f>ROUND(SUMIF(地价!B2:F2,E2,地价!B20:F20),0)</f>
        <v>0</v>
      </c>
      <c r="N19" s="2701" t="s">
        <v>1675</v>
      </c>
      <c r="O19" s="2700">
        <f>ROUNDDOWN(DATEDIF(E19,G19,"M")/3,0)</f>
        <v>15</v>
      </c>
      <c r="P19" s="1597"/>
      <c r="R19" s="2840"/>
      <c r="S19" s="2840"/>
      <c r="T19" s="2840"/>
      <c r="U19" s="2840"/>
      <c r="V19" s="2840"/>
      <c r="W19" s="2093"/>
      <c r="X19" s="2093"/>
      <c r="Y19" s="2093"/>
      <c r="Z19" s="2093"/>
      <c r="AA19" s="2093"/>
      <c r="AB19" s="2093"/>
      <c r="AC19" s="2093"/>
      <c r="AD19" s="1404"/>
      <c r="AE19" s="1404"/>
      <c r="AF19" s="1404"/>
      <c r="AG19" s="1404"/>
      <c r="AH19" s="1473"/>
      <c r="AI19" s="1474"/>
      <c r="AJ19" s="1478"/>
      <c r="AK19" s="1405"/>
      <c r="AL19" s="1421"/>
      <c r="AM19" s="1421"/>
      <c r="AN19" s="1421"/>
    </row>
    <row r="20" spans="1:40" s="1422" customFormat="1" ht="27.75" thickBot="1">
      <c r="A20" s="2693" t="s">
        <v>1835</v>
      </c>
      <c r="B20" s="2694" t="s">
        <v>970</v>
      </c>
      <c r="C20" s="2695" t="e">
        <f>ROUND(POWER(1+G20,J20-I20)*(POWER(1+G20,I20)-1)/(POWER(1+G20,J20)-1),4)</f>
        <v>#DIV/0!</v>
      </c>
      <c r="D20" s="2696" t="s">
        <v>971</v>
      </c>
      <c r="E20" s="3005">
        <f ca="1">存贷款利率!I4/100</f>
        <v>4.3499999999999997E-2</v>
      </c>
      <c r="F20" s="2696" t="s">
        <v>972</v>
      </c>
      <c r="G20" s="2697">
        <f>SUMIF(M15:P15,E2,M17:P17)</f>
        <v>0</v>
      </c>
      <c r="H20" s="2696" t="s">
        <v>973</v>
      </c>
      <c r="I20" s="2686" t="e">
        <f>SUMIF('数据-取费表'!C6:C15,E2,'数据-取费表'!F6:F15)/COUNTIF('数据-取费表'!C6:C15,E2)</f>
        <v>#DIV/0!</v>
      </c>
      <c r="J20" s="2698">
        <f>IF(E2="住宅",70,IF(E2="商业",40,50))</f>
        <v>50</v>
      </c>
      <c r="K20" s="1482"/>
      <c r="L20" s="2957" t="s">
        <v>2841</v>
      </c>
      <c r="M20" s="2958">
        <f>ROUND(SUMPRODUCT((地价!A5:A20=YEAR(G19)&amp;"-"&amp;ROUNDUP(MONTH(G19)/3,0))*(地价!B2:F2=E2)*(地价!B5:F20)),0)</f>
        <v>0</v>
      </c>
      <c r="N20" s="2704" t="s">
        <v>2644</v>
      </c>
      <c r="O20" s="2702" t="s">
        <v>2643</v>
      </c>
      <c r="P20" s="2703" t="s">
        <v>2649</v>
      </c>
      <c r="R20" s="2840"/>
      <c r="S20" s="2840"/>
      <c r="T20" s="2840"/>
      <c r="U20" s="2840"/>
      <c r="V20" s="2840"/>
      <c r="W20" s="2093"/>
      <c r="X20" s="2093"/>
      <c r="Y20" s="2093"/>
      <c r="Z20" s="2093"/>
      <c r="AA20" s="2093"/>
      <c r="AB20" s="2093"/>
      <c r="AC20" s="2093"/>
      <c r="AD20" s="1473"/>
      <c r="AE20" s="1473"/>
      <c r="AF20" s="1473"/>
      <c r="AG20" s="1473"/>
      <c r="AH20" s="1473"/>
      <c r="AI20" s="1473"/>
    </row>
    <row r="21" spans="1:40" s="1422" customFormat="1" ht="14.25">
      <c r="A21" s="1643" t="s">
        <v>1836</v>
      </c>
      <c r="B21" s="1481" t="s">
        <v>2760</v>
      </c>
      <c r="C21" s="1158">
        <f>IF(B21="容积率修正",IF(G3&lt;=10,D22,J22),C23)</f>
        <v>0</v>
      </c>
      <c r="D21" s="1482"/>
      <c r="E21" s="1482"/>
      <c r="F21" s="1482"/>
      <c r="G21" s="1482"/>
      <c r="H21" s="1482"/>
      <c r="I21" s="1482"/>
      <c r="J21" s="1483"/>
      <c r="K21" s="1482"/>
      <c r="L21" s="1482"/>
      <c r="M21" s="1482"/>
      <c r="N21" s="1479" t="s">
        <v>974</v>
      </c>
      <c r="O21" s="1543"/>
      <c r="P21" s="2684">
        <f>SUMPRODUCT((地价!A3:A20=YEAR(G19)&amp;"-"&amp;ROUNDUP(MONTH(G19)/3,0))*(地价!AD2:AH2=N21)*(地价!AD3:AH20))</f>
        <v>1.6400000000000001E-2</v>
      </c>
      <c r="R21" s="2840"/>
      <c r="S21" s="2840"/>
      <c r="T21" s="2840"/>
      <c r="U21" s="2840"/>
      <c r="V21" s="2840"/>
      <c r="W21" s="2093"/>
      <c r="X21" s="2093"/>
      <c r="Y21" s="2093"/>
      <c r="Z21" s="2093"/>
      <c r="AA21" s="2093"/>
      <c r="AB21" s="2093"/>
      <c r="AC21" s="2093"/>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684">
        <f>SUMPRODUCT((地价!A3:A20=YEAR(G19)&amp;"-"&amp;ROUNDUP(MONTH(G19)/3,0))*(地价!AD2:AH2=N22)*(地价!AD3:AH20))</f>
        <v>1.6400000000000001E-2</v>
      </c>
      <c r="R22" s="2840"/>
      <c r="S22" s="2840"/>
      <c r="T22" s="2840"/>
      <c r="U22" s="2840"/>
      <c r="V22" s="2840"/>
      <c r="W22" s="2093"/>
      <c r="X22" s="2093"/>
      <c r="Y22" s="2093"/>
      <c r="Z22" s="2093"/>
      <c r="AA22" s="2093"/>
      <c r="AB22" s="2093"/>
      <c r="AC22" s="2093"/>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684">
        <f>SUMPRODUCT((地价!A3:A20=YEAR(G19)&amp;"-"&amp;ROUNDUP(MONTH(G19)/3,0))*(地价!AD2:AH2=N23)*(地价!AD3:AH20))</f>
        <v>2.7799999999999998E-2</v>
      </c>
      <c r="R23" s="2840"/>
      <c r="S23" s="2840"/>
      <c r="T23" s="2840"/>
      <c r="U23" s="2840"/>
      <c r="V23" s="2840"/>
      <c r="W23" s="2093"/>
      <c r="X23" s="2093"/>
      <c r="Y23" s="2093"/>
      <c r="Z23" s="2093"/>
      <c r="AA23" s="2093"/>
      <c r="AB23" s="2093"/>
      <c r="AC23" s="2093"/>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SUMPRODUCT((地价!A3:A20=YEAR(G19)&amp;"-"&amp;ROUNDUP(MONTH(G19)/3,0))*(地价!AD2:AH2=N24)*(地价!AD3:AH20))</f>
        <v>1.3899999999999999E-2</v>
      </c>
      <c r="R24" s="2840"/>
      <c r="S24" s="2840"/>
      <c r="T24" s="2840"/>
      <c r="U24" s="2840"/>
      <c r="V24" s="2840"/>
      <c r="W24" s="2093"/>
      <c r="X24" s="2093"/>
      <c r="Y24" s="2093"/>
      <c r="Z24" s="2093"/>
      <c r="AA24" s="2093"/>
      <c r="AB24" s="2093"/>
      <c r="AC24" s="2093"/>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093"/>
      <c r="M25" s="2093"/>
      <c r="N25" s="2712" t="s">
        <v>2647</v>
      </c>
      <c r="O25" s="2093"/>
      <c r="P25" s="1542">
        <f>SUMPRODUCT((地价!A3:A20=YEAR(G19)&amp;"-"&amp;ROUNDUP(MONTH(G19)/3,0))*(地价!AD2:AH2=N25)*(地价!AD3:AH20))</f>
        <v>2.4899999999999999E-2</v>
      </c>
      <c r="R25" s="2840"/>
      <c r="S25" s="2840"/>
      <c r="T25" s="2840"/>
      <c r="U25" s="2840"/>
      <c r="V25" s="2840"/>
      <c r="W25" s="2093"/>
      <c r="X25" s="2093"/>
      <c r="Y25" s="2093"/>
      <c r="Z25" s="2093"/>
      <c r="AA25" s="2093"/>
      <c r="AB25" s="2093"/>
      <c r="AC25" s="2093"/>
    </row>
    <row r="26" spans="1:40" ht="14.25">
      <c r="A26" s="1490"/>
      <c r="B26" s="1484" t="s">
        <v>985</v>
      </c>
      <c r="C26" s="1063" t="e">
        <f>E29+SUM(E33:E39)</f>
        <v>#DIV/0!</v>
      </c>
      <c r="D26" s="1491"/>
      <c r="E26" s="1457"/>
      <c r="F26" s="1492"/>
      <c r="G26" s="1457"/>
      <c r="H26" s="1457"/>
      <c r="I26" s="1457"/>
      <c r="J26" s="1493"/>
      <c r="K26" s="1402"/>
      <c r="L26" s="2093"/>
      <c r="M26" s="2093"/>
      <c r="N26" s="2093"/>
      <c r="O26" s="2093"/>
      <c r="P26" s="2093"/>
      <c r="Q26" s="2093"/>
      <c r="R26" s="2840"/>
      <c r="S26" s="2840"/>
      <c r="T26" s="2840"/>
      <c r="U26" s="2840"/>
      <c r="V26" s="2840"/>
      <c r="W26" s="2093"/>
      <c r="X26" s="2093"/>
      <c r="Y26" s="2093"/>
      <c r="Z26" s="2093"/>
      <c r="AA26" s="2093"/>
      <c r="AB26" s="2093"/>
      <c r="AC26" s="2093"/>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093"/>
      <c r="M27" s="2093"/>
      <c r="N27" s="2093"/>
      <c r="O27" s="2093"/>
      <c r="P27" s="2093"/>
      <c r="Q27" s="2093"/>
      <c r="R27" s="2840"/>
      <c r="S27" s="2840"/>
      <c r="T27" s="2840"/>
      <c r="U27" s="2840"/>
      <c r="V27" s="2840"/>
      <c r="W27" s="2093"/>
      <c r="X27" s="2093"/>
      <c r="Y27" s="2093"/>
      <c r="Z27" s="2093"/>
      <c r="AA27" s="2093"/>
      <c r="AB27" s="2093"/>
      <c r="AC27" s="2093"/>
    </row>
    <row r="28" spans="1:40" ht="14.25">
      <c r="A28" s="1486"/>
      <c r="B28" s="1499" t="s">
        <v>988</v>
      </c>
      <c r="C28" s="1500" t="s">
        <v>989</v>
      </c>
      <c r="D28" s="1500" t="s">
        <v>990</v>
      </c>
      <c r="E28" s="1501" t="s">
        <v>991</v>
      </c>
      <c r="F28" s="1502"/>
      <c r="G28" s="1443"/>
      <c r="H28" s="1443"/>
      <c r="I28" s="1443"/>
      <c r="J28" s="1444"/>
      <c r="K28" s="1402"/>
      <c r="L28" s="2093"/>
      <c r="M28" s="2093"/>
      <c r="N28" s="2093"/>
      <c r="O28" s="2093"/>
      <c r="P28" s="2093"/>
      <c r="Q28" s="2093"/>
      <c r="R28" s="2840"/>
      <c r="S28" s="2840"/>
      <c r="T28" s="2840"/>
      <c r="U28" s="2840"/>
      <c r="V28" s="2840"/>
      <c r="W28" s="2093"/>
      <c r="X28" s="2093"/>
      <c r="Y28" s="2093"/>
      <c r="Z28" s="2093"/>
      <c r="AA28" s="2093"/>
      <c r="AB28" s="2093"/>
      <c r="AC28" s="2093"/>
      <c r="AD28" s="1473"/>
      <c r="AE28" s="1473"/>
      <c r="AF28" s="1473"/>
      <c r="AG28" s="1473"/>
    </row>
    <row r="29" spans="1:40" ht="24">
      <c r="A29" s="1503"/>
      <c r="B29" s="1504" t="s">
        <v>992</v>
      </c>
      <c r="C29" s="1063" t="e">
        <f>ROUND(C5*C18*C19*C20*C21*C24,0)</f>
        <v>#DIV/0!</v>
      </c>
      <c r="D29" s="1505"/>
      <c r="E29" s="1747" t="e">
        <f>ROUND(C29*D29/10000,0)</f>
        <v>#DIV/0!</v>
      </c>
      <c r="F29" s="1506" t="s">
        <v>1700</v>
      </c>
      <c r="G29" s="1507"/>
      <c r="H29" s="1507"/>
      <c r="I29" s="1507"/>
      <c r="J29" s="1508"/>
      <c r="K29" s="1402"/>
      <c r="L29" s="2093"/>
      <c r="M29" s="2093"/>
      <c r="N29" s="2093"/>
      <c r="O29" s="2093"/>
      <c r="P29" s="2093"/>
      <c r="Q29" s="2093"/>
      <c r="R29" s="2840"/>
      <c r="S29" s="2840"/>
      <c r="T29" s="2840"/>
      <c r="U29" s="2840"/>
      <c r="V29" s="2840"/>
      <c r="W29" s="2093"/>
      <c r="X29" s="2093"/>
      <c r="Y29" s="2093"/>
      <c r="Z29" s="2093"/>
      <c r="AA29" s="2093"/>
      <c r="AB29" s="2093"/>
      <c r="AC29" s="2093"/>
      <c r="AH29" s="1403"/>
      <c r="AI29" s="1403"/>
      <c r="AJ29" s="1406"/>
      <c r="AK29" s="1406"/>
      <c r="AL29" s="1406"/>
      <c r="AM29" s="1406"/>
    </row>
    <row r="30" spans="1:40" ht="24.75" thickBot="1">
      <c r="A30" s="1509"/>
      <c r="B30" s="1510" t="s">
        <v>993</v>
      </c>
      <c r="C30" s="1051" t="e">
        <f>ROUND(IF(E2="工业",C29*M39,C29*M38),0)</f>
        <v>#DIV/0!</v>
      </c>
      <c r="D30" s="1511"/>
      <c r="E30" s="1747" t="e">
        <f>ROUND(C30*D30/10000,0)</f>
        <v>#DIV/0!</v>
      </c>
      <c r="F30" s="1512" t="s">
        <v>994</v>
      </c>
      <c r="G30" s="1513"/>
      <c r="H30" s="1513"/>
      <c r="I30" s="1513"/>
      <c r="J30" s="1514"/>
      <c r="K30" s="1402"/>
      <c r="L30" s="2087"/>
      <c r="M30" s="2087"/>
      <c r="N30" s="2087"/>
      <c r="O30" s="2087"/>
      <c r="P30" s="2087"/>
      <c r="Q30" s="2087"/>
      <c r="R30" s="2088"/>
      <c r="S30" s="2088"/>
      <c r="T30" s="2088"/>
      <c r="U30" s="2088"/>
      <c r="V30" s="2088"/>
      <c r="W30" s="2087"/>
      <c r="X30" s="2087"/>
      <c r="Y30" s="2087"/>
      <c r="Z30" s="2087"/>
      <c r="AA30" s="2087"/>
      <c r="AB30" s="2087"/>
      <c r="AC30" s="2087"/>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087"/>
      <c r="M31" s="2087"/>
      <c r="N31" s="2087"/>
      <c r="O31" s="2087"/>
      <c r="P31" s="2087"/>
      <c r="Q31" s="2087"/>
      <c r="R31" s="2088"/>
      <c r="S31" s="2088"/>
      <c r="T31" s="2088"/>
      <c r="U31" s="2088"/>
      <c r="V31" s="2088"/>
      <c r="W31" s="2087"/>
      <c r="X31" s="2087"/>
      <c r="Y31" s="2087"/>
      <c r="Z31" s="2087"/>
      <c r="AA31" s="2087"/>
      <c r="AB31" s="2087"/>
      <c r="AC31" s="2087"/>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087"/>
      <c r="M32" s="2087"/>
      <c r="N32" s="2087"/>
      <c r="O32" s="2087"/>
      <c r="P32" s="2087"/>
      <c r="Q32" s="2087"/>
      <c r="R32" s="2088"/>
      <c r="S32" s="2088"/>
      <c r="T32" s="2088"/>
      <c r="U32" s="2088"/>
      <c r="V32" s="2088"/>
      <c r="W32" s="2087"/>
      <c r="X32" s="2087"/>
      <c r="Y32" s="2087"/>
      <c r="Z32" s="2087"/>
      <c r="AA32" s="2087"/>
      <c r="AB32" s="2087"/>
      <c r="AC32" s="2087"/>
      <c r="AD32" s="1403"/>
      <c r="AE32" s="1403"/>
      <c r="AF32" s="1403"/>
      <c r="AG32" s="1403"/>
      <c r="AH32" s="1403"/>
      <c r="AI32" s="1403"/>
      <c r="AJ32" s="1406"/>
      <c r="AK32" s="1406"/>
      <c r="AL32" s="1406"/>
      <c r="AM32" s="1406"/>
    </row>
    <row r="33" spans="1:40" ht="12.75">
      <c r="A33" s="3595" t="s">
        <v>2951</v>
      </c>
      <c r="B33" s="1525" t="s">
        <v>998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087"/>
      <c r="M33" s="2087"/>
      <c r="N33" s="2087"/>
      <c r="O33" s="2087"/>
      <c r="P33" s="2087"/>
      <c r="Q33" s="2087"/>
      <c r="R33" s="2088"/>
      <c r="S33" s="2088"/>
      <c r="T33" s="2088"/>
      <c r="U33" s="2088"/>
      <c r="V33" s="2088"/>
      <c r="W33" s="2087"/>
      <c r="X33" s="2087"/>
      <c r="Y33" s="2087"/>
      <c r="Z33" s="2087"/>
      <c r="AA33" s="2087"/>
      <c r="AB33" s="2087"/>
      <c r="AC33" s="2088"/>
    </row>
    <row r="34" spans="1:40" ht="12.75">
      <c r="A34" s="3596"/>
      <c r="B34" s="1446" t="s">
        <v>999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087"/>
      <c r="M34" s="2087"/>
      <c r="N34" s="2087"/>
      <c r="O34" s="2087"/>
      <c r="P34" s="2087"/>
      <c r="Q34" s="2087"/>
      <c r="R34" s="2088"/>
      <c r="S34" s="2088"/>
      <c r="T34" s="2088"/>
      <c r="U34" s="2088"/>
      <c r="V34" s="2088"/>
      <c r="W34" s="2087"/>
      <c r="X34" s="2087"/>
      <c r="Y34" s="2087"/>
      <c r="Z34" s="2087"/>
      <c r="AA34" s="2087"/>
      <c r="AB34" s="2087"/>
      <c r="AC34" s="2088"/>
    </row>
    <row r="35" spans="1:40" ht="12.75">
      <c r="A35" s="3596"/>
      <c r="B35" s="1446" t="s">
        <v>1000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597"/>
      <c r="B36" s="1446" t="s">
        <v>1001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087"/>
      <c r="M36" s="2087"/>
      <c r="N36" s="2087"/>
      <c r="O36" s="2087"/>
      <c r="P36" s="2087"/>
      <c r="Q36" s="2087"/>
      <c r="R36" s="2088"/>
      <c r="S36" s="2088"/>
      <c r="T36" s="2088"/>
      <c r="U36" s="2088"/>
      <c r="V36" s="2088"/>
      <c r="W36" s="2087"/>
      <c r="X36" s="2087"/>
      <c r="Y36" s="2087"/>
      <c r="Z36" s="2087"/>
      <c r="AA36" s="2087"/>
      <c r="AB36" s="2087"/>
      <c r="AC36" s="2088"/>
    </row>
    <row r="37" spans="1:40" ht="12.75">
      <c r="A37" s="1524"/>
      <c r="B37" s="1446" t="s">
        <v>1002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087"/>
      <c r="O37" s="2087"/>
      <c r="P37" s="2087"/>
      <c r="Q37" s="2087"/>
      <c r="R37" s="2088"/>
      <c r="S37" s="2088"/>
      <c r="T37" s="2088"/>
      <c r="U37" s="2088"/>
      <c r="V37" s="2088"/>
      <c r="W37" s="2087"/>
      <c r="X37" s="2087"/>
      <c r="Y37" s="2087"/>
      <c r="Z37" s="2087"/>
      <c r="AA37" s="2087"/>
      <c r="AB37" s="2087"/>
      <c r="AC37" s="2088"/>
    </row>
    <row r="38" spans="1:40" ht="12.75">
      <c r="A38" s="1524"/>
      <c r="B38" s="1446" t="s">
        <v>1003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087"/>
      <c r="O38" s="2087"/>
      <c r="P38" s="2087"/>
      <c r="Q38" s="2087"/>
      <c r="R38" s="2088"/>
      <c r="S38" s="2088"/>
      <c r="T38" s="2088"/>
      <c r="U38" s="2088"/>
      <c r="V38" s="2088"/>
      <c r="W38" s="2087"/>
      <c r="X38" s="2087"/>
      <c r="Y38" s="2087"/>
      <c r="Z38" s="2087"/>
      <c r="AA38" s="2087"/>
      <c r="AB38" s="2087"/>
      <c r="AC38" s="2088"/>
    </row>
    <row r="39" spans="1:40" ht="13.5" thickBot="1">
      <c r="A39" s="1509"/>
      <c r="B39" s="1527" t="s">
        <v>1004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087"/>
      <c r="O39" s="2087"/>
      <c r="P39" s="2087"/>
      <c r="Q39" s="2087"/>
      <c r="R39" s="2088"/>
      <c r="S39" s="2088"/>
      <c r="T39" s="2088"/>
      <c r="U39" s="2088"/>
      <c r="V39" s="2088"/>
      <c r="W39" s="2087"/>
      <c r="X39" s="2087"/>
      <c r="Y39" s="2087"/>
      <c r="Z39" s="2087"/>
      <c r="AA39" s="2087"/>
      <c r="AB39" s="2087"/>
      <c r="AC39" s="2088"/>
    </row>
    <row r="40" spans="1:40" s="1403"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404"/>
      <c r="AE40" s="1404"/>
      <c r="AF40" s="1404"/>
      <c r="AG40" s="1404"/>
      <c r="AH40" s="1404"/>
      <c r="AI40" s="1404"/>
      <c r="AJ40" s="1404"/>
      <c r="AK40" s="1404"/>
      <c r="AL40" s="1404"/>
      <c r="AM40" s="1404"/>
    </row>
    <row r="41" spans="1:40" s="1403" customFormat="1">
      <c r="A41" s="1404"/>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404"/>
      <c r="AE41" s="1404"/>
      <c r="AF41" s="1404"/>
      <c r="AG41" s="1404"/>
      <c r="AH41" s="1404"/>
      <c r="AI41" s="1404"/>
      <c r="AJ41" s="1404"/>
      <c r="AK41" s="1404"/>
      <c r="AL41" s="1404"/>
      <c r="AM41" s="1404"/>
    </row>
    <row r="42" spans="1:40" s="1403" customFormat="1">
      <c r="A42" s="1404"/>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404"/>
      <c r="AE42" s="1404"/>
      <c r="AF42" s="1404"/>
      <c r="AG42" s="1404"/>
      <c r="AH42" s="1404"/>
      <c r="AI42" s="1404"/>
      <c r="AJ42" s="1404"/>
      <c r="AK42" s="1404"/>
      <c r="AL42" s="1404"/>
      <c r="AM42" s="1404"/>
    </row>
    <row r="43" spans="1:40" s="1403" customFormat="1">
      <c r="A43" s="1404"/>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404"/>
      <c r="AE43" s="1404"/>
      <c r="AF43" s="1404"/>
      <c r="AG43" s="1404"/>
      <c r="AH43" s="1404"/>
      <c r="AI43" s="1404"/>
      <c r="AJ43" s="1404"/>
      <c r="AK43" s="1404"/>
      <c r="AL43" s="1404"/>
      <c r="AM43" s="1404"/>
    </row>
    <row r="44" spans="1:40" s="1403" customFormat="1" ht="15" thickBot="1">
      <c r="A44" s="2340" t="s">
        <v>1005</v>
      </c>
      <c r="B44" s="2341"/>
      <c r="C44" s="2342"/>
      <c r="D44" s="2343"/>
      <c r="E44" s="2343"/>
      <c r="F44" s="2344"/>
      <c r="G44" s="1066"/>
      <c r="H44" s="2344"/>
      <c r="I44" s="1066"/>
      <c r="J44" s="1066"/>
      <c r="K44" s="1066"/>
      <c r="L44" s="1066"/>
      <c r="M44" s="1066"/>
      <c r="O44" s="2094"/>
      <c r="P44" s="2094"/>
      <c r="Q44" s="2094"/>
      <c r="R44" s="2095"/>
      <c r="S44" s="2095"/>
      <c r="T44" s="2095"/>
      <c r="U44" s="2095"/>
      <c r="V44" s="2095"/>
      <c r="W44" s="2094"/>
      <c r="X44" s="2094"/>
      <c r="Y44" s="2094"/>
      <c r="Z44" s="2094"/>
      <c r="AA44" s="2094"/>
      <c r="AB44" s="2094"/>
      <c r="AC44" s="2095"/>
      <c r="AD44" s="1404"/>
      <c r="AE44" s="1404"/>
      <c r="AF44" s="1404"/>
      <c r="AG44" s="1404"/>
      <c r="AH44" s="1404"/>
      <c r="AI44" s="1404"/>
      <c r="AJ44" s="1404"/>
      <c r="AK44" s="1404"/>
      <c r="AL44" s="1404"/>
      <c r="AM44" s="1404"/>
    </row>
    <row r="45" spans="1:40" s="1403" customFormat="1" ht="15">
      <c r="A45" s="2345" t="s">
        <v>1006</v>
      </c>
      <c r="B45" s="2346">
        <f>1+E47</f>
        <v>1</v>
      </c>
      <c r="C45" s="2347"/>
      <c r="D45" s="2348"/>
      <c r="E45" s="2349"/>
      <c r="F45" s="2350"/>
      <c r="G45" s="2344"/>
      <c r="H45" s="2344"/>
      <c r="I45" s="1066"/>
      <c r="J45" s="1066"/>
      <c r="K45" s="1066"/>
      <c r="L45" s="1066"/>
      <c r="M45" s="1066"/>
      <c r="O45" s="2094"/>
      <c r="P45" s="2094"/>
      <c r="Q45" s="2094"/>
      <c r="R45" s="2095"/>
      <c r="S45" s="2095"/>
      <c r="T45" s="2095"/>
      <c r="U45" s="2095"/>
      <c r="V45" s="2095"/>
      <c r="W45" s="2094"/>
      <c r="X45" s="2094"/>
      <c r="Y45" s="2094"/>
      <c r="Z45" s="2094"/>
      <c r="AA45" s="2094"/>
      <c r="AB45" s="2094"/>
      <c r="AC45" s="2095"/>
      <c r="AD45" s="1404"/>
      <c r="AE45" s="1404"/>
      <c r="AF45" s="1404"/>
      <c r="AG45" s="1404"/>
      <c r="AH45" s="1404"/>
      <c r="AI45" s="1404"/>
      <c r="AJ45" s="1404"/>
      <c r="AK45" s="1404"/>
      <c r="AL45" s="1404"/>
      <c r="AM45" s="1404"/>
    </row>
    <row r="46" spans="1:40" s="1403" customFormat="1" ht="24">
      <c r="A46" s="1067" t="s">
        <v>1007</v>
      </c>
      <c r="B46" s="2329" t="s">
        <v>1008</v>
      </c>
      <c r="C46" s="2351" t="s">
        <v>1009</v>
      </c>
      <c r="D46" s="2352" t="s">
        <v>1010</v>
      </c>
      <c r="E46" s="2353" t="s">
        <v>1012</v>
      </c>
      <c r="F46" s="2354" t="s">
        <v>2248</v>
      </c>
      <c r="G46" s="2352" t="s">
        <v>1013</v>
      </c>
      <c r="H46" s="2335" t="s">
        <v>2414</v>
      </c>
      <c r="I46" s="2352" t="s">
        <v>1011</v>
      </c>
      <c r="J46" s="2355" t="s">
        <v>1014</v>
      </c>
      <c r="K46" s="2355" t="s">
        <v>1015</v>
      </c>
      <c r="L46" s="2355" t="s">
        <v>1016</v>
      </c>
      <c r="M46" s="2355" t="s">
        <v>1017</v>
      </c>
      <c r="N46" s="2355" t="s">
        <v>1018</v>
      </c>
      <c r="P46" s="2094"/>
      <c r="Q46" s="2094"/>
      <c r="R46" s="2095"/>
      <c r="S46" s="2095"/>
      <c r="T46" s="2095"/>
      <c r="U46" s="2095"/>
      <c r="V46" s="2095"/>
      <c r="W46" s="2094"/>
      <c r="X46" s="2094"/>
      <c r="Y46" s="2094"/>
      <c r="Z46" s="2094"/>
      <c r="AA46" s="2094"/>
      <c r="AB46" s="2094"/>
      <c r="AC46" s="2094"/>
      <c r="AD46" s="2095"/>
      <c r="AE46" s="1404"/>
      <c r="AF46" s="1404"/>
      <c r="AG46" s="1404"/>
      <c r="AH46" s="1404"/>
      <c r="AI46" s="1404"/>
      <c r="AJ46" s="1404"/>
      <c r="AK46" s="1404"/>
      <c r="AL46" s="1404"/>
      <c r="AM46" s="1404"/>
      <c r="AN46" s="1404"/>
    </row>
    <row r="47" spans="1:40" s="1403" customFormat="1" ht="24">
      <c r="A47" s="1067" t="s">
        <v>1019</v>
      </c>
      <c r="B47" s="2332">
        <f>估价对象房地状况!C16</f>
        <v>0</v>
      </c>
      <c r="C47" s="1050"/>
      <c r="D47" s="2338">
        <f t="shared" ref="D47:D55" si="10">SUMIF($J$46:$N$46,C47,J47:N47)</f>
        <v>0</v>
      </c>
      <c r="E47" s="2357">
        <f>ROUND(SUM(D47:D55),4)</f>
        <v>0</v>
      </c>
      <c r="F47" s="2358" t="str">
        <f>IF(E2="商业",SUMIF(L1:L12,G2,N1:N12),"——")</f>
        <v>——</v>
      </c>
      <c r="G47" s="2336"/>
      <c r="H47" s="2380" t="str">
        <f t="shared" ref="H47:H55" si="11">IFERROR(ROUNDDOWN(($F$47*I47/2),4),"——")</f>
        <v>——</v>
      </c>
      <c r="I47" s="2356">
        <v>0.33</v>
      </c>
      <c r="J47" s="2359">
        <f t="shared" ref="J47:J55" si="12">K47+$G47</f>
        <v>0</v>
      </c>
      <c r="K47" s="2359">
        <f t="shared" ref="K47:K55" si="13">$L47+$G47</f>
        <v>0</v>
      </c>
      <c r="L47" s="2359">
        <v>0</v>
      </c>
      <c r="M47" s="2359">
        <f t="shared" ref="M47:N55" si="14">L47-$G47</f>
        <v>0</v>
      </c>
      <c r="N47" s="2359">
        <f t="shared" si="14"/>
        <v>0</v>
      </c>
      <c r="P47" s="2094"/>
      <c r="Q47" s="2094"/>
      <c r="R47" s="2095"/>
      <c r="S47" s="2095"/>
      <c r="T47" s="2095"/>
      <c r="U47" s="2095"/>
      <c r="V47" s="2095"/>
      <c r="W47" s="2094"/>
      <c r="X47" s="2094"/>
      <c r="Y47" s="2094"/>
      <c r="Z47" s="2094"/>
      <c r="AA47" s="2094"/>
      <c r="AB47" s="2094"/>
      <c r="AC47" s="2094"/>
      <c r="AD47" s="2095"/>
      <c r="AE47" s="1404"/>
      <c r="AF47" s="1404"/>
      <c r="AG47" s="1404"/>
      <c r="AH47" s="1404"/>
      <c r="AI47" s="1404"/>
      <c r="AJ47" s="1404"/>
      <c r="AK47" s="1404"/>
      <c r="AL47" s="1404"/>
      <c r="AM47" s="1404"/>
      <c r="AN47" s="1404"/>
    </row>
    <row r="48" spans="1:40" s="1403" customFormat="1" ht="14.25">
      <c r="A48" s="1067" t="s">
        <v>1020</v>
      </c>
      <c r="B48" s="2329">
        <f>估价对象房地状况!C18</f>
        <v>0</v>
      </c>
      <c r="C48" s="1050"/>
      <c r="D48" s="2338">
        <f t="shared" si="10"/>
        <v>0</v>
      </c>
      <c r="E48" s="2360"/>
      <c r="F48" s="2358"/>
      <c r="G48" s="2336"/>
      <c r="H48" s="2380" t="str">
        <f t="shared" si="11"/>
        <v>——</v>
      </c>
      <c r="I48" s="2356">
        <v>0.25</v>
      </c>
      <c r="J48" s="2359">
        <f t="shared" si="12"/>
        <v>0</v>
      </c>
      <c r="K48" s="2359">
        <f t="shared" si="13"/>
        <v>0</v>
      </c>
      <c r="L48" s="2359">
        <v>0</v>
      </c>
      <c r="M48" s="2359">
        <f t="shared" si="14"/>
        <v>0</v>
      </c>
      <c r="N48" s="2359">
        <f t="shared" si="14"/>
        <v>0</v>
      </c>
      <c r="P48" s="2094"/>
      <c r="Q48" s="2094"/>
      <c r="R48" s="2095"/>
      <c r="S48" s="2095"/>
      <c r="T48" s="2095"/>
      <c r="U48" s="2095"/>
      <c r="V48" s="2095"/>
      <c r="W48" s="2094"/>
      <c r="X48" s="2094"/>
      <c r="Y48" s="2094"/>
      <c r="Z48" s="2094"/>
      <c r="AA48" s="2094"/>
      <c r="AB48" s="2094"/>
      <c r="AC48" s="2094"/>
      <c r="AD48" s="2095"/>
      <c r="AE48" s="1404"/>
      <c r="AF48" s="1404"/>
      <c r="AG48" s="1404"/>
      <c r="AH48" s="1404"/>
      <c r="AI48" s="1404"/>
      <c r="AJ48" s="1404"/>
      <c r="AK48" s="1404"/>
      <c r="AL48" s="1404"/>
      <c r="AM48" s="1404"/>
      <c r="AN48" s="1404"/>
    </row>
    <row r="49" spans="1:40" s="1403" customFormat="1" ht="24">
      <c r="A49" s="1067" t="s">
        <v>1021</v>
      </c>
      <c r="B49" s="2329">
        <f>估价对象房地状况!C19</f>
        <v>0</v>
      </c>
      <c r="C49" s="1050"/>
      <c r="D49" s="2338">
        <f t="shared" si="10"/>
        <v>0</v>
      </c>
      <c r="E49" s="2360"/>
      <c r="F49" s="2358"/>
      <c r="G49" s="2336"/>
      <c r="H49" s="2380" t="str">
        <f t="shared" si="11"/>
        <v>——</v>
      </c>
      <c r="I49" s="2356">
        <v>0.05</v>
      </c>
      <c r="J49" s="2359">
        <f t="shared" si="12"/>
        <v>0</v>
      </c>
      <c r="K49" s="2359">
        <f t="shared" si="13"/>
        <v>0</v>
      </c>
      <c r="L49" s="2359">
        <v>0</v>
      </c>
      <c r="M49" s="2359">
        <f t="shared" si="14"/>
        <v>0</v>
      </c>
      <c r="N49" s="2359">
        <f t="shared" si="14"/>
        <v>0</v>
      </c>
      <c r="P49" s="2094"/>
      <c r="Q49" s="2094"/>
      <c r="R49" s="2095"/>
      <c r="S49" s="2095"/>
      <c r="T49" s="2095"/>
      <c r="U49" s="2095"/>
      <c r="V49" s="2095"/>
      <c r="W49" s="2094"/>
      <c r="X49" s="2094"/>
      <c r="Y49" s="2094"/>
      <c r="Z49" s="2094"/>
      <c r="AA49" s="2094"/>
      <c r="AB49" s="2094"/>
      <c r="AC49" s="2094"/>
      <c r="AD49" s="2095"/>
      <c r="AE49" s="1404"/>
      <c r="AF49" s="1404"/>
      <c r="AG49" s="1404"/>
      <c r="AH49" s="1404"/>
      <c r="AI49" s="1404"/>
      <c r="AJ49" s="1404"/>
      <c r="AK49" s="1404"/>
      <c r="AL49" s="1404"/>
      <c r="AM49" s="1404"/>
      <c r="AN49" s="1404"/>
    </row>
    <row r="50" spans="1:40" s="1403" customFormat="1" ht="36">
      <c r="A50" s="1067" t="s">
        <v>1022</v>
      </c>
      <c r="B50" s="3007" t="s">
        <v>2926</v>
      </c>
      <c r="C50" s="1050"/>
      <c r="D50" s="2338">
        <f t="shared" si="10"/>
        <v>0</v>
      </c>
      <c r="E50" s="2360"/>
      <c r="F50" s="2358"/>
      <c r="G50" s="2336"/>
      <c r="H50" s="2380" t="str">
        <f t="shared" si="11"/>
        <v>——</v>
      </c>
      <c r="I50" s="2356">
        <v>0.05</v>
      </c>
      <c r="J50" s="2359">
        <f t="shared" si="12"/>
        <v>0</v>
      </c>
      <c r="K50" s="2359">
        <f t="shared" si="13"/>
        <v>0</v>
      </c>
      <c r="L50" s="2359">
        <v>0</v>
      </c>
      <c r="M50" s="2359">
        <f t="shared" si="14"/>
        <v>0</v>
      </c>
      <c r="N50" s="2359">
        <f t="shared" si="14"/>
        <v>0</v>
      </c>
      <c r="P50" s="2094"/>
      <c r="Q50" s="2094"/>
      <c r="R50" s="2095"/>
      <c r="S50" s="2095"/>
      <c r="T50" s="2095"/>
      <c r="U50" s="2095"/>
      <c r="V50" s="2095"/>
      <c r="W50" s="2094"/>
      <c r="X50" s="2094"/>
      <c r="Y50" s="2094"/>
      <c r="Z50" s="2094"/>
      <c r="AA50" s="2094"/>
      <c r="AB50" s="2094"/>
      <c r="AC50" s="2094"/>
      <c r="AD50" s="2095"/>
      <c r="AE50" s="1404"/>
      <c r="AF50" s="1404"/>
      <c r="AG50" s="1404"/>
      <c r="AH50" s="1404"/>
      <c r="AI50" s="1404"/>
      <c r="AJ50" s="1404"/>
      <c r="AK50" s="1404"/>
      <c r="AL50" s="1404"/>
      <c r="AM50" s="1404"/>
      <c r="AN50" s="1404"/>
    </row>
    <row r="51" spans="1:40" s="1403" customFormat="1" ht="24">
      <c r="A51" s="1067" t="s">
        <v>1023</v>
      </c>
      <c r="B51" s="2329">
        <f>估价对象房地状况!C24</f>
        <v>0</v>
      </c>
      <c r="C51" s="1050"/>
      <c r="D51" s="2338">
        <f t="shared" si="10"/>
        <v>0</v>
      </c>
      <c r="E51" s="2360"/>
      <c r="F51" s="2358"/>
      <c r="G51" s="2336"/>
      <c r="H51" s="2380" t="str">
        <f t="shared" si="11"/>
        <v>——</v>
      </c>
      <c r="I51" s="2356">
        <v>0.08</v>
      </c>
      <c r="J51" s="2359">
        <f t="shared" si="12"/>
        <v>0</v>
      </c>
      <c r="K51" s="2359">
        <f t="shared" si="13"/>
        <v>0</v>
      </c>
      <c r="L51" s="2359">
        <v>0</v>
      </c>
      <c r="M51" s="2359">
        <f t="shared" si="14"/>
        <v>0</v>
      </c>
      <c r="N51" s="2359">
        <f t="shared" si="14"/>
        <v>0</v>
      </c>
      <c r="P51" s="2094"/>
      <c r="Q51" s="2094"/>
      <c r="R51" s="2095"/>
      <c r="S51" s="2095"/>
      <c r="T51" s="2095"/>
      <c r="U51" s="2095"/>
      <c r="V51" s="2095"/>
      <c r="W51" s="2094"/>
      <c r="X51" s="2094"/>
      <c r="Y51" s="2094"/>
      <c r="Z51" s="2094"/>
      <c r="AA51" s="2094"/>
      <c r="AB51" s="2094"/>
      <c r="AC51" s="2094"/>
      <c r="AD51" s="2095"/>
      <c r="AE51" s="1404"/>
      <c r="AF51" s="1404"/>
      <c r="AG51" s="1404"/>
      <c r="AH51" s="1404"/>
      <c r="AI51" s="1404"/>
      <c r="AJ51" s="1404"/>
      <c r="AK51" s="1404"/>
      <c r="AL51" s="1404"/>
      <c r="AM51" s="1404"/>
      <c r="AN51" s="1404"/>
    </row>
    <row r="52" spans="1:40" s="1403" customFormat="1" ht="24">
      <c r="A52" s="1067" t="s">
        <v>1024</v>
      </c>
      <c r="B52" s="3006" t="s">
        <v>2925</v>
      </c>
      <c r="C52" s="1050"/>
      <c r="D52" s="2338">
        <f t="shared" si="10"/>
        <v>0</v>
      </c>
      <c r="E52" s="2360"/>
      <c r="F52" s="2358"/>
      <c r="G52" s="2336"/>
      <c r="H52" s="2380" t="str">
        <f t="shared" si="11"/>
        <v>——</v>
      </c>
      <c r="I52" s="2356">
        <v>0.03</v>
      </c>
      <c r="J52" s="2359">
        <f t="shared" si="12"/>
        <v>0</v>
      </c>
      <c r="K52" s="2359">
        <f t="shared" si="13"/>
        <v>0</v>
      </c>
      <c r="L52" s="2359">
        <v>0</v>
      </c>
      <c r="M52" s="2359">
        <f t="shared" si="14"/>
        <v>0</v>
      </c>
      <c r="N52" s="2359">
        <f t="shared" si="14"/>
        <v>0</v>
      </c>
      <c r="P52" s="2094"/>
      <c r="Q52" s="2094"/>
      <c r="R52" s="2095"/>
      <c r="S52" s="2095"/>
      <c r="T52" s="2095"/>
      <c r="U52" s="2095"/>
      <c r="V52" s="2095"/>
      <c r="W52" s="2094"/>
      <c r="X52" s="2094"/>
      <c r="Y52" s="2094"/>
      <c r="Z52" s="2094"/>
      <c r="AA52" s="2094"/>
      <c r="AB52" s="2094"/>
      <c r="AC52" s="2094"/>
      <c r="AD52" s="2095"/>
      <c r="AE52" s="1404"/>
      <c r="AF52" s="1404"/>
      <c r="AG52" s="1404"/>
      <c r="AH52" s="1404"/>
      <c r="AI52" s="1404"/>
      <c r="AJ52" s="1404"/>
      <c r="AK52" s="1404"/>
      <c r="AL52" s="1404"/>
      <c r="AM52" s="1404"/>
      <c r="AN52" s="1404"/>
    </row>
    <row r="53" spans="1:40" s="1403" customFormat="1" ht="24">
      <c r="A53" s="2361" t="s">
        <v>1025</v>
      </c>
      <c r="B53" s="2330">
        <f>估价对象房地状况!C21</f>
        <v>0</v>
      </c>
      <c r="C53" s="1050"/>
      <c r="D53" s="2338">
        <f t="shared" si="10"/>
        <v>0</v>
      </c>
      <c r="E53" s="2360"/>
      <c r="F53" s="2358"/>
      <c r="G53" s="2336"/>
      <c r="H53" s="2380" t="str">
        <f t="shared" si="11"/>
        <v>——</v>
      </c>
      <c r="I53" s="2356">
        <v>0.05</v>
      </c>
      <c r="J53" s="2359">
        <f t="shared" si="12"/>
        <v>0</v>
      </c>
      <c r="K53" s="2359">
        <f t="shared" si="13"/>
        <v>0</v>
      </c>
      <c r="L53" s="2359">
        <v>0</v>
      </c>
      <c r="M53" s="2359">
        <f t="shared" si="14"/>
        <v>0</v>
      </c>
      <c r="N53" s="2359">
        <f t="shared" si="14"/>
        <v>0</v>
      </c>
      <c r="P53" s="2094"/>
      <c r="Q53" s="2094"/>
      <c r="R53" s="2095"/>
      <c r="S53" s="2095"/>
      <c r="T53" s="2095"/>
      <c r="U53" s="2095"/>
      <c r="V53" s="2095"/>
      <c r="W53" s="2094"/>
      <c r="X53" s="2094"/>
      <c r="Y53" s="2094"/>
      <c r="Z53" s="2094"/>
      <c r="AA53" s="2094"/>
      <c r="AB53" s="2094"/>
      <c r="AC53" s="2094"/>
      <c r="AD53" s="2095"/>
      <c r="AE53" s="1404"/>
      <c r="AF53" s="1404"/>
      <c r="AG53" s="1404"/>
      <c r="AH53" s="1404"/>
      <c r="AI53" s="1404"/>
      <c r="AJ53" s="1404"/>
      <c r="AK53" s="1404"/>
      <c r="AL53" s="1404"/>
      <c r="AM53" s="1404"/>
      <c r="AN53" s="1404"/>
    </row>
    <row r="54" spans="1:40" s="1403" customFormat="1" ht="24">
      <c r="A54" s="2361" t="s">
        <v>1026</v>
      </c>
      <c r="B54" s="2329">
        <f>估价对象房地状况!C22</f>
        <v>0</v>
      </c>
      <c r="C54" s="1050"/>
      <c r="D54" s="2338">
        <f t="shared" si="10"/>
        <v>0</v>
      </c>
      <c r="E54" s="2360"/>
      <c r="F54" s="2358"/>
      <c r="G54" s="2336"/>
      <c r="H54" s="2380" t="str">
        <f t="shared" si="11"/>
        <v>——</v>
      </c>
      <c r="I54" s="2356">
        <v>0.1</v>
      </c>
      <c r="J54" s="2359">
        <f t="shared" si="12"/>
        <v>0</v>
      </c>
      <c r="K54" s="2359">
        <f t="shared" si="13"/>
        <v>0</v>
      </c>
      <c r="L54" s="2359">
        <v>0</v>
      </c>
      <c r="M54" s="2359">
        <f t="shared" si="14"/>
        <v>0</v>
      </c>
      <c r="N54" s="2359">
        <f t="shared" si="14"/>
        <v>0</v>
      </c>
      <c r="P54" s="2094"/>
      <c r="Q54" s="2094"/>
      <c r="R54" s="2095"/>
      <c r="S54" s="2095"/>
      <c r="T54" s="2095"/>
      <c r="U54" s="2095"/>
      <c r="V54" s="2095"/>
      <c r="W54" s="2094"/>
      <c r="X54" s="2094"/>
      <c r="Y54" s="2094"/>
      <c r="Z54" s="2094"/>
      <c r="AA54" s="2094"/>
      <c r="AB54" s="2094"/>
      <c r="AC54" s="2094"/>
      <c r="AD54" s="2095"/>
      <c r="AE54" s="1404"/>
      <c r="AF54" s="1404"/>
      <c r="AG54" s="1404"/>
      <c r="AH54" s="1404"/>
      <c r="AI54" s="1404"/>
      <c r="AJ54" s="1404"/>
      <c r="AK54" s="1404"/>
      <c r="AL54" s="1404"/>
      <c r="AM54" s="1404"/>
      <c r="AN54" s="1404"/>
    </row>
    <row r="55" spans="1:40" s="1403" customFormat="1" ht="24.75" thickBot="1">
      <c r="A55" s="2362" t="s">
        <v>1027</v>
      </c>
      <c r="B55" s="2333">
        <f>估价对象房地状况!C20</f>
        <v>0</v>
      </c>
      <c r="C55" s="1050"/>
      <c r="D55" s="2338">
        <f t="shared" si="10"/>
        <v>0</v>
      </c>
      <c r="E55" s="2364"/>
      <c r="F55" s="2358"/>
      <c r="G55" s="2336"/>
      <c r="H55" s="2380" t="str">
        <f t="shared" si="11"/>
        <v>——</v>
      </c>
      <c r="I55" s="2363">
        <v>0.06</v>
      </c>
      <c r="J55" s="2359">
        <f t="shared" si="12"/>
        <v>0</v>
      </c>
      <c r="K55" s="2359">
        <f t="shared" si="13"/>
        <v>0</v>
      </c>
      <c r="L55" s="2359">
        <v>0</v>
      </c>
      <c r="M55" s="2359">
        <f t="shared" si="14"/>
        <v>0</v>
      </c>
      <c r="N55" s="2359">
        <f t="shared" si="14"/>
        <v>0</v>
      </c>
      <c r="P55" s="2094"/>
      <c r="Q55" s="2094"/>
      <c r="R55" s="2095"/>
      <c r="S55" s="2095"/>
      <c r="T55" s="2095"/>
      <c r="U55" s="2095"/>
      <c r="V55" s="2095"/>
      <c r="W55" s="2094"/>
      <c r="X55" s="2094"/>
      <c r="Y55" s="2094"/>
      <c r="Z55" s="2094"/>
      <c r="AA55" s="2094"/>
      <c r="AB55" s="2094"/>
      <c r="AC55" s="2094"/>
      <c r="AD55" s="2095"/>
      <c r="AE55" s="1404"/>
      <c r="AF55" s="1404"/>
      <c r="AG55" s="1404"/>
      <c r="AH55" s="1404"/>
      <c r="AI55" s="1404"/>
      <c r="AJ55" s="1404"/>
      <c r="AK55" s="1404"/>
      <c r="AL55" s="1404"/>
      <c r="AM55" s="1404"/>
      <c r="AN55" s="1404"/>
    </row>
    <row r="56" spans="1:40" s="1403" customFormat="1" ht="15">
      <c r="A56" s="2345" t="s">
        <v>1028</v>
      </c>
      <c r="B56" s="2346">
        <f>1+E58</f>
        <v>1</v>
      </c>
      <c r="C56" s="2365"/>
      <c r="D56" s="2348"/>
      <c r="E56" s="2349"/>
      <c r="F56" s="2350"/>
      <c r="G56" s="2344"/>
      <c r="H56" s="2344"/>
      <c r="I56" s="2344"/>
      <c r="J56" s="1066"/>
      <c r="K56" s="1066"/>
      <c r="L56" s="1066"/>
      <c r="M56" s="1066"/>
      <c r="N56" s="1066"/>
      <c r="P56" s="2094"/>
      <c r="Q56" s="2094"/>
      <c r="R56" s="2095"/>
      <c r="S56" s="2095"/>
      <c r="T56" s="2095"/>
      <c r="U56" s="2095"/>
      <c r="V56" s="2095"/>
      <c r="W56" s="2094"/>
      <c r="X56" s="2094"/>
      <c r="Y56" s="2094"/>
      <c r="Z56" s="2094"/>
      <c r="AA56" s="2094"/>
      <c r="AB56" s="2094"/>
      <c r="AC56" s="2094"/>
      <c r="AD56" s="2095"/>
      <c r="AE56" s="1404"/>
      <c r="AF56" s="1404"/>
      <c r="AG56" s="1404"/>
      <c r="AH56" s="1404"/>
      <c r="AI56" s="1404"/>
      <c r="AJ56" s="1404"/>
      <c r="AK56" s="1404"/>
      <c r="AL56" s="1404"/>
      <c r="AM56" s="1404"/>
      <c r="AN56" s="1404"/>
    </row>
    <row r="57" spans="1:40" s="1403" customFormat="1" ht="24">
      <c r="A57" s="1067" t="s">
        <v>1007</v>
      </c>
      <c r="B57" s="2329"/>
      <c r="C57" s="2351" t="s">
        <v>1009</v>
      </c>
      <c r="D57" s="2352" t="s">
        <v>1010</v>
      </c>
      <c r="E57" s="2353" t="s">
        <v>1012</v>
      </c>
      <c r="F57" s="2354" t="s">
        <v>2249</v>
      </c>
      <c r="G57" s="2352" t="s">
        <v>1013</v>
      </c>
      <c r="H57" s="2335" t="s">
        <v>2414</v>
      </c>
      <c r="I57" s="2352" t="s">
        <v>1011</v>
      </c>
      <c r="J57" s="2355" t="s">
        <v>1014</v>
      </c>
      <c r="K57" s="2355" t="s">
        <v>1015</v>
      </c>
      <c r="L57" s="2355" t="s">
        <v>1016</v>
      </c>
      <c r="M57" s="2355" t="s">
        <v>1017</v>
      </c>
      <c r="N57" s="2355" t="s">
        <v>1018</v>
      </c>
      <c r="P57" s="2094"/>
      <c r="Q57" s="2094"/>
      <c r="R57" s="2095"/>
      <c r="S57" s="2095"/>
      <c r="T57" s="2095"/>
      <c r="U57" s="2095"/>
      <c r="V57" s="2095"/>
      <c r="W57" s="2094"/>
      <c r="X57" s="2094"/>
      <c r="Y57" s="2094"/>
      <c r="Z57" s="2094"/>
      <c r="AA57" s="2094"/>
      <c r="AB57" s="2094"/>
      <c r="AC57" s="2094"/>
      <c r="AD57" s="2095"/>
      <c r="AE57" s="1404"/>
      <c r="AF57" s="1404"/>
      <c r="AG57" s="1404"/>
      <c r="AH57" s="1404"/>
      <c r="AI57" s="1404"/>
      <c r="AJ57" s="1404"/>
      <c r="AK57" s="1404"/>
      <c r="AL57" s="1404"/>
      <c r="AM57" s="1404"/>
      <c r="AN57" s="1404"/>
    </row>
    <row r="58" spans="1:40" s="1403" customFormat="1" ht="24">
      <c r="A58" s="1067" t="s">
        <v>1029</v>
      </c>
      <c r="B58" s="2332">
        <f>估价对象房地状况!C17</f>
        <v>0</v>
      </c>
      <c r="C58" s="1050"/>
      <c r="D58" s="2338">
        <f t="shared" ref="D58:D66" si="15">SUMIF($J$57:$N$57,C58,J58:N58)</f>
        <v>0</v>
      </c>
      <c r="E58" s="2357">
        <f>ROUND(SUM(D58:D66),4)</f>
        <v>0</v>
      </c>
      <c r="F58" s="2358" t="str">
        <f>IF(E2="办公",SUMIF(L1:L12,G2,N1:N12),"——")</f>
        <v>——</v>
      </c>
      <c r="G58" s="2336"/>
      <c r="H58" s="2380" t="str">
        <f>IFERROR(ROUNDDOWN($F$58*I58/2,4),"——")</f>
        <v>——</v>
      </c>
      <c r="I58" s="2356">
        <v>0.24</v>
      </c>
      <c r="J58" s="2359">
        <f t="shared" ref="J58:J66" si="16">K58+$G58</f>
        <v>0</v>
      </c>
      <c r="K58" s="2359">
        <f t="shared" ref="K58:K66" si="17">$L58+$G58</f>
        <v>0</v>
      </c>
      <c r="L58" s="2359">
        <v>0</v>
      </c>
      <c r="M58" s="2359">
        <f t="shared" ref="M58:N66" si="18">L58-$G58</f>
        <v>0</v>
      </c>
      <c r="N58" s="2359">
        <f t="shared" si="18"/>
        <v>0</v>
      </c>
      <c r="P58" s="2094"/>
      <c r="Q58" s="2094"/>
      <c r="R58" s="2095"/>
      <c r="S58" s="2095"/>
      <c r="T58" s="2095"/>
      <c r="U58" s="2095"/>
      <c r="V58" s="2095"/>
      <c r="W58" s="2094"/>
      <c r="X58" s="2094"/>
      <c r="Y58" s="2094"/>
      <c r="Z58" s="2094"/>
      <c r="AA58" s="2094"/>
      <c r="AB58" s="2094"/>
      <c r="AC58" s="2094"/>
      <c r="AD58" s="2095"/>
      <c r="AE58" s="1404"/>
      <c r="AF58" s="1404"/>
      <c r="AG58" s="1404"/>
      <c r="AH58" s="1404"/>
      <c r="AI58" s="1404"/>
      <c r="AJ58" s="1404"/>
      <c r="AK58" s="1404"/>
      <c r="AL58" s="1404"/>
      <c r="AM58" s="1404"/>
      <c r="AN58" s="1404"/>
    </row>
    <row r="59" spans="1:40" s="1403" customFormat="1" ht="14.25">
      <c r="A59" s="1067" t="s">
        <v>1020</v>
      </c>
      <c r="B59" s="2329">
        <f>估价对象房地状况!C18</f>
        <v>0</v>
      </c>
      <c r="C59" s="1050"/>
      <c r="D59" s="2338">
        <f t="shared" si="15"/>
        <v>0</v>
      </c>
      <c r="E59" s="2360"/>
      <c r="F59" s="2358"/>
      <c r="G59" s="2336"/>
      <c r="H59" s="2337" t="str">
        <f t="shared" ref="H59:H66" si="19">IFERROR($F$58*I59/2,"——")</f>
        <v>——</v>
      </c>
      <c r="I59" s="2356">
        <v>0.3</v>
      </c>
      <c r="J59" s="2359">
        <f t="shared" si="16"/>
        <v>0</v>
      </c>
      <c r="K59" s="2359">
        <f t="shared" si="17"/>
        <v>0</v>
      </c>
      <c r="L59" s="2359">
        <v>0</v>
      </c>
      <c r="M59" s="2359">
        <f t="shared" si="18"/>
        <v>0</v>
      </c>
      <c r="N59" s="2359">
        <f t="shared" si="18"/>
        <v>0</v>
      </c>
      <c r="P59" s="2094"/>
      <c r="Q59" s="2094"/>
      <c r="R59" s="2095"/>
      <c r="S59" s="2095"/>
      <c r="T59" s="2095"/>
      <c r="U59" s="2095"/>
      <c r="V59" s="2095"/>
      <c r="W59" s="2094"/>
      <c r="X59" s="2094"/>
      <c r="Y59" s="2094"/>
      <c r="Z59" s="2094"/>
      <c r="AA59" s="2094"/>
      <c r="AB59" s="2094"/>
      <c r="AC59" s="2094"/>
      <c r="AD59" s="2095"/>
      <c r="AE59" s="1404"/>
      <c r="AF59" s="1404"/>
      <c r="AG59" s="1404"/>
      <c r="AH59" s="1404"/>
      <c r="AI59" s="1404"/>
      <c r="AJ59" s="1404"/>
      <c r="AK59" s="1404"/>
      <c r="AL59" s="1404"/>
      <c r="AM59" s="1404"/>
      <c r="AN59" s="1404"/>
    </row>
    <row r="60" spans="1:40" s="1403" customFormat="1" ht="24">
      <c r="A60" s="1067" t="s">
        <v>1021</v>
      </c>
      <c r="B60" s="2329">
        <f>估价对象房地状况!C19</f>
        <v>0</v>
      </c>
      <c r="C60" s="1050"/>
      <c r="D60" s="2338">
        <f t="shared" si="15"/>
        <v>0</v>
      </c>
      <c r="E60" s="2360"/>
      <c r="F60" s="2358"/>
      <c r="G60" s="2336"/>
      <c r="H60" s="2337" t="str">
        <f t="shared" si="19"/>
        <v>——</v>
      </c>
      <c r="I60" s="2356">
        <v>0.08</v>
      </c>
      <c r="J60" s="2359">
        <f t="shared" si="16"/>
        <v>0</v>
      </c>
      <c r="K60" s="2359">
        <f t="shared" si="17"/>
        <v>0</v>
      </c>
      <c r="L60" s="2359">
        <v>0</v>
      </c>
      <c r="M60" s="2359">
        <f t="shared" si="18"/>
        <v>0</v>
      </c>
      <c r="N60" s="2359">
        <f t="shared" si="18"/>
        <v>0</v>
      </c>
      <c r="P60" s="2094"/>
      <c r="Q60" s="2094"/>
      <c r="R60" s="2095"/>
      <c r="S60" s="2095"/>
      <c r="T60" s="2095"/>
      <c r="U60" s="2095"/>
      <c r="V60" s="2095"/>
      <c r="W60" s="2094"/>
      <c r="X60" s="2094"/>
      <c r="Y60" s="2094"/>
      <c r="Z60" s="2094"/>
      <c r="AA60" s="2094"/>
      <c r="AB60" s="2094"/>
      <c r="AC60" s="2094"/>
      <c r="AD60" s="2095"/>
      <c r="AE60" s="1404"/>
      <c r="AF60" s="1404"/>
      <c r="AG60" s="1404"/>
      <c r="AH60" s="1404"/>
      <c r="AI60" s="1404"/>
      <c r="AJ60" s="1404"/>
      <c r="AK60" s="1404"/>
      <c r="AL60" s="1404"/>
      <c r="AM60" s="1404"/>
      <c r="AN60" s="1404"/>
    </row>
    <row r="61" spans="1:40" s="1403" customFormat="1" ht="36">
      <c r="A61" s="1067" t="s">
        <v>1022</v>
      </c>
      <c r="B61" s="3007" t="s">
        <v>2927</v>
      </c>
      <c r="C61" s="1050"/>
      <c r="D61" s="2338">
        <f t="shared" si="15"/>
        <v>0</v>
      </c>
      <c r="E61" s="2360"/>
      <c r="F61" s="2358"/>
      <c r="G61" s="2336"/>
      <c r="H61" s="2337" t="str">
        <f t="shared" si="19"/>
        <v>——</v>
      </c>
      <c r="I61" s="2356">
        <v>0.04</v>
      </c>
      <c r="J61" s="2359">
        <f t="shared" si="16"/>
        <v>0</v>
      </c>
      <c r="K61" s="2359">
        <f t="shared" si="17"/>
        <v>0</v>
      </c>
      <c r="L61" s="2359">
        <v>0</v>
      </c>
      <c r="M61" s="2359">
        <f t="shared" si="18"/>
        <v>0</v>
      </c>
      <c r="N61" s="2359">
        <f t="shared" si="18"/>
        <v>0</v>
      </c>
      <c r="P61" s="2094"/>
      <c r="Q61" s="2094"/>
      <c r="R61" s="2095"/>
      <c r="S61" s="2095"/>
      <c r="T61" s="2095"/>
      <c r="U61" s="2095"/>
      <c r="V61" s="2095"/>
      <c r="W61" s="2094"/>
      <c r="X61" s="2094"/>
      <c r="Y61" s="2094"/>
      <c r="Z61" s="2094"/>
      <c r="AA61" s="2094"/>
      <c r="AB61" s="2094"/>
      <c r="AC61" s="2094"/>
      <c r="AD61" s="2095"/>
      <c r="AE61" s="1404"/>
      <c r="AF61" s="1404"/>
      <c r="AG61" s="1404"/>
      <c r="AH61" s="1404"/>
      <c r="AI61" s="1404"/>
      <c r="AJ61" s="1404"/>
      <c r="AK61" s="1404"/>
      <c r="AL61" s="1404"/>
      <c r="AM61" s="1404"/>
      <c r="AN61" s="1404"/>
    </row>
    <row r="62" spans="1:40" s="1403" customFormat="1" ht="24">
      <c r="A62" s="1067" t="s">
        <v>1023</v>
      </c>
      <c r="B62" s="2329">
        <f>估价对象房地状况!C24</f>
        <v>0</v>
      </c>
      <c r="C62" s="1050"/>
      <c r="D62" s="2338">
        <f t="shared" si="15"/>
        <v>0</v>
      </c>
      <c r="E62" s="2360"/>
      <c r="F62" s="2358"/>
      <c r="G62" s="2336"/>
      <c r="H62" s="2337" t="str">
        <f t="shared" si="19"/>
        <v>——</v>
      </c>
      <c r="I62" s="2356">
        <v>0.05</v>
      </c>
      <c r="J62" s="2359">
        <f t="shared" si="16"/>
        <v>0</v>
      </c>
      <c r="K62" s="2359">
        <f t="shared" si="17"/>
        <v>0</v>
      </c>
      <c r="L62" s="2359">
        <v>0</v>
      </c>
      <c r="M62" s="2359">
        <f t="shared" si="18"/>
        <v>0</v>
      </c>
      <c r="N62" s="2359">
        <f t="shared" si="18"/>
        <v>0</v>
      </c>
      <c r="P62" s="2094"/>
      <c r="Q62" s="2094"/>
      <c r="R62" s="2095"/>
      <c r="S62" s="2095"/>
      <c r="T62" s="2095"/>
      <c r="U62" s="2095"/>
      <c r="V62" s="2095"/>
      <c r="W62" s="2094"/>
      <c r="X62" s="2094"/>
      <c r="Y62" s="2094"/>
      <c r="Z62" s="2094"/>
      <c r="AA62" s="2094"/>
      <c r="AB62" s="2094"/>
      <c r="AC62" s="2094"/>
      <c r="AD62" s="2095"/>
      <c r="AE62" s="1404"/>
      <c r="AF62" s="1404"/>
      <c r="AG62" s="1404"/>
      <c r="AH62" s="1404"/>
      <c r="AI62" s="1404"/>
      <c r="AJ62" s="1404"/>
      <c r="AK62" s="1404"/>
      <c r="AL62" s="1404"/>
      <c r="AM62" s="1404"/>
      <c r="AN62" s="1404"/>
    </row>
    <row r="63" spans="1:40" s="1403" customFormat="1" ht="24">
      <c r="A63" s="1067" t="s">
        <v>1024</v>
      </c>
      <c r="B63" s="3006" t="s">
        <v>2925</v>
      </c>
      <c r="C63" s="1050"/>
      <c r="D63" s="2338">
        <f t="shared" si="15"/>
        <v>0</v>
      </c>
      <c r="E63" s="2360"/>
      <c r="F63" s="2358"/>
      <c r="G63" s="2336"/>
      <c r="H63" s="2337" t="str">
        <f t="shared" si="19"/>
        <v>——</v>
      </c>
      <c r="I63" s="2356">
        <v>0.05</v>
      </c>
      <c r="J63" s="2359">
        <f t="shared" si="16"/>
        <v>0</v>
      </c>
      <c r="K63" s="2359">
        <f t="shared" si="17"/>
        <v>0</v>
      </c>
      <c r="L63" s="2359">
        <v>0</v>
      </c>
      <c r="M63" s="2359">
        <f t="shared" si="18"/>
        <v>0</v>
      </c>
      <c r="N63" s="2359">
        <f t="shared" si="18"/>
        <v>0</v>
      </c>
      <c r="P63" s="2094"/>
      <c r="Q63" s="2094"/>
      <c r="R63" s="2095"/>
      <c r="S63" s="2095"/>
      <c r="T63" s="2095"/>
      <c r="U63" s="2095"/>
      <c r="V63" s="2095"/>
      <c r="W63" s="2094"/>
      <c r="X63" s="2094"/>
      <c r="Y63" s="2094"/>
      <c r="Z63" s="2094"/>
      <c r="AA63" s="2094"/>
      <c r="AB63" s="2094"/>
      <c r="AC63" s="2094"/>
      <c r="AD63" s="2095"/>
      <c r="AE63" s="1404"/>
      <c r="AF63" s="1404"/>
      <c r="AG63" s="1404"/>
      <c r="AH63" s="1404"/>
      <c r="AI63" s="1404"/>
      <c r="AJ63" s="1404"/>
      <c r="AK63" s="1404"/>
      <c r="AL63" s="1404"/>
      <c r="AM63" s="1404"/>
      <c r="AN63" s="1404"/>
    </row>
    <row r="64" spans="1:40" s="1403" customFormat="1" ht="24">
      <c r="A64" s="1067" t="s">
        <v>1025</v>
      </c>
      <c r="B64" s="2330">
        <f>估价对象房地状况!C21</f>
        <v>0</v>
      </c>
      <c r="C64" s="1050"/>
      <c r="D64" s="2338">
        <f t="shared" si="15"/>
        <v>0</v>
      </c>
      <c r="E64" s="2360"/>
      <c r="F64" s="2358"/>
      <c r="G64" s="2336"/>
      <c r="H64" s="2337" t="str">
        <f t="shared" si="19"/>
        <v>——</v>
      </c>
      <c r="I64" s="2356">
        <v>0.06</v>
      </c>
      <c r="J64" s="2359">
        <f t="shared" si="16"/>
        <v>0</v>
      </c>
      <c r="K64" s="2359">
        <f t="shared" si="17"/>
        <v>0</v>
      </c>
      <c r="L64" s="2359">
        <v>0</v>
      </c>
      <c r="M64" s="2359">
        <f t="shared" si="18"/>
        <v>0</v>
      </c>
      <c r="N64" s="2359">
        <f t="shared" si="18"/>
        <v>0</v>
      </c>
      <c r="P64" s="2094"/>
      <c r="Q64" s="2094"/>
      <c r="R64" s="2095"/>
      <c r="S64" s="2095"/>
      <c r="T64" s="2095"/>
      <c r="U64" s="2095"/>
      <c r="V64" s="2095"/>
      <c r="W64" s="2094"/>
      <c r="X64" s="2094"/>
      <c r="Y64" s="2094"/>
      <c r="Z64" s="2094"/>
      <c r="AA64" s="2094"/>
      <c r="AB64" s="2094"/>
      <c r="AC64" s="2094"/>
      <c r="AD64" s="2095"/>
      <c r="AE64" s="1404"/>
      <c r="AF64" s="1404"/>
      <c r="AG64" s="1404"/>
      <c r="AH64" s="1404"/>
      <c r="AI64" s="1404"/>
      <c r="AJ64" s="1404"/>
      <c r="AK64" s="1404"/>
      <c r="AL64" s="1404"/>
      <c r="AM64" s="1404"/>
      <c r="AN64" s="1404"/>
    </row>
    <row r="65" spans="1:40" s="1403" customFormat="1" ht="24">
      <c r="A65" s="1067" t="s">
        <v>1026</v>
      </c>
      <c r="B65" s="2330">
        <f>估价对象房地状况!C22</f>
        <v>0</v>
      </c>
      <c r="C65" s="1050"/>
      <c r="D65" s="2338">
        <f t="shared" si="15"/>
        <v>0</v>
      </c>
      <c r="E65" s="2360"/>
      <c r="F65" s="2358"/>
      <c r="G65" s="2336"/>
      <c r="H65" s="2337" t="str">
        <f t="shared" si="19"/>
        <v>——</v>
      </c>
      <c r="I65" s="2356">
        <v>0.12</v>
      </c>
      <c r="J65" s="2359">
        <f t="shared" si="16"/>
        <v>0</v>
      </c>
      <c r="K65" s="2359">
        <f t="shared" si="17"/>
        <v>0</v>
      </c>
      <c r="L65" s="2359">
        <v>0</v>
      </c>
      <c r="M65" s="2359">
        <f t="shared" si="18"/>
        <v>0</v>
      </c>
      <c r="N65" s="2359">
        <f t="shared" si="18"/>
        <v>0</v>
      </c>
      <c r="P65" s="2094"/>
      <c r="Q65" s="2094"/>
      <c r="R65" s="2095"/>
      <c r="S65" s="2095"/>
      <c r="T65" s="2095"/>
      <c r="U65" s="2095"/>
      <c r="V65" s="2095"/>
      <c r="W65" s="2094"/>
      <c r="X65" s="2094"/>
      <c r="Y65" s="2094"/>
      <c r="Z65" s="2094"/>
      <c r="AA65" s="2094"/>
      <c r="AB65" s="2094"/>
      <c r="AC65" s="2094"/>
      <c r="AD65" s="2095"/>
      <c r="AE65" s="1404"/>
      <c r="AF65" s="1404"/>
      <c r="AG65" s="1404"/>
      <c r="AH65" s="1404"/>
      <c r="AI65" s="1404"/>
      <c r="AJ65" s="1404"/>
      <c r="AK65" s="1404"/>
      <c r="AL65" s="1404"/>
      <c r="AM65" s="1404"/>
      <c r="AN65" s="1404"/>
    </row>
    <row r="66" spans="1:40" s="1403" customFormat="1" ht="24.75" thickBot="1">
      <c r="A66" s="2362" t="s">
        <v>1027</v>
      </c>
      <c r="B66" s="2334">
        <f>估价对象房地状况!C20</f>
        <v>0</v>
      </c>
      <c r="C66" s="1050"/>
      <c r="D66" s="2338">
        <f t="shared" si="15"/>
        <v>0</v>
      </c>
      <c r="E66" s="2364"/>
      <c r="F66" s="2358"/>
      <c r="G66" s="2336"/>
      <c r="H66" s="2337" t="str">
        <f t="shared" si="19"/>
        <v>——</v>
      </c>
      <c r="I66" s="2363">
        <v>0.06</v>
      </c>
      <c r="J66" s="2359">
        <f t="shared" si="16"/>
        <v>0</v>
      </c>
      <c r="K66" s="2359">
        <f t="shared" si="17"/>
        <v>0</v>
      </c>
      <c r="L66" s="2359">
        <v>0</v>
      </c>
      <c r="M66" s="2359">
        <f t="shared" si="18"/>
        <v>0</v>
      </c>
      <c r="N66" s="2359">
        <f t="shared" si="18"/>
        <v>0</v>
      </c>
      <c r="P66" s="2094"/>
      <c r="Q66" s="2094"/>
      <c r="R66" s="2095"/>
      <c r="S66" s="2095"/>
      <c r="T66" s="2095"/>
      <c r="U66" s="2095"/>
      <c r="V66" s="2095"/>
      <c r="W66" s="2094"/>
      <c r="X66" s="2094"/>
      <c r="Y66" s="2094"/>
      <c r="Z66" s="2094"/>
      <c r="AA66" s="2094"/>
      <c r="AB66" s="2094"/>
      <c r="AC66" s="2094"/>
      <c r="AD66" s="2095"/>
      <c r="AE66" s="1404"/>
      <c r="AF66" s="1404"/>
      <c r="AG66" s="1404"/>
      <c r="AH66" s="1404"/>
      <c r="AI66" s="1404"/>
      <c r="AJ66" s="1404"/>
      <c r="AK66" s="1404"/>
      <c r="AL66" s="1404"/>
      <c r="AM66" s="1404"/>
      <c r="AN66" s="1404"/>
    </row>
    <row r="67" spans="1:40" s="1403" customFormat="1" ht="15">
      <c r="A67" s="2345" t="s">
        <v>1030</v>
      </c>
      <c r="B67" s="2346">
        <f>1+E69</f>
        <v>1</v>
      </c>
      <c r="C67" s="2365"/>
      <c r="D67" s="2348"/>
      <c r="E67" s="2349"/>
      <c r="F67" s="2350"/>
      <c r="G67" s="2344"/>
      <c r="H67" s="2344"/>
      <c r="I67" s="2344"/>
      <c r="J67" s="1066"/>
      <c r="K67" s="1066"/>
      <c r="L67" s="1066"/>
      <c r="M67" s="1066"/>
      <c r="N67" s="1066"/>
      <c r="P67" s="2094"/>
      <c r="Q67" s="2094"/>
      <c r="R67" s="2095"/>
      <c r="S67" s="2095"/>
      <c r="T67" s="2095"/>
      <c r="U67" s="2095"/>
      <c r="V67" s="2095"/>
      <c r="W67" s="2094"/>
      <c r="X67" s="2094"/>
      <c r="Y67" s="2094"/>
      <c r="Z67" s="2094"/>
      <c r="AA67" s="2094"/>
      <c r="AB67" s="2094"/>
      <c r="AC67" s="2094"/>
      <c r="AD67" s="2095"/>
      <c r="AE67" s="1404"/>
      <c r="AF67" s="1404"/>
      <c r="AG67" s="1404"/>
      <c r="AH67" s="1404"/>
      <c r="AI67" s="1404"/>
      <c r="AJ67" s="1404"/>
      <c r="AK67" s="1404"/>
      <c r="AL67" s="1404"/>
      <c r="AM67" s="1404"/>
      <c r="AN67" s="1404"/>
    </row>
    <row r="68" spans="1:40" s="1403" customFormat="1" ht="24">
      <c r="A68" s="1067" t="s">
        <v>1007</v>
      </c>
      <c r="B68" s="2329"/>
      <c r="C68" s="2351" t="s">
        <v>1009</v>
      </c>
      <c r="D68" s="2352" t="s">
        <v>1010</v>
      </c>
      <c r="E68" s="2353" t="s">
        <v>1012</v>
      </c>
      <c r="F68" s="2354" t="s">
        <v>2250</v>
      </c>
      <c r="G68" s="2352" t="s">
        <v>1013</v>
      </c>
      <c r="H68" s="2335" t="s">
        <v>2414</v>
      </c>
      <c r="I68" s="2352" t="s">
        <v>1011</v>
      </c>
      <c r="J68" s="2355" t="s">
        <v>1014</v>
      </c>
      <c r="K68" s="2355" t="s">
        <v>1015</v>
      </c>
      <c r="L68" s="2355" t="s">
        <v>1016</v>
      </c>
      <c r="M68" s="2355" t="s">
        <v>1017</v>
      </c>
      <c r="N68" s="2355" t="s">
        <v>1018</v>
      </c>
      <c r="P68" s="2094"/>
      <c r="Q68" s="2094"/>
      <c r="R68" s="2095"/>
      <c r="S68" s="2095"/>
      <c r="T68" s="2095"/>
      <c r="U68" s="2095"/>
      <c r="V68" s="2095"/>
      <c r="W68" s="2094"/>
      <c r="X68" s="2094"/>
      <c r="Y68" s="2094"/>
      <c r="Z68" s="2094"/>
      <c r="AA68" s="2094"/>
      <c r="AB68" s="2094"/>
      <c r="AC68" s="2094"/>
      <c r="AD68" s="2095"/>
      <c r="AE68" s="1404"/>
      <c r="AF68" s="1404"/>
      <c r="AG68" s="1404"/>
      <c r="AH68" s="1404"/>
      <c r="AI68" s="1404"/>
      <c r="AJ68" s="1404"/>
      <c r="AK68" s="1404"/>
      <c r="AL68" s="1404"/>
      <c r="AM68" s="1404"/>
      <c r="AN68" s="1404"/>
    </row>
    <row r="69" spans="1:40" s="1403" customFormat="1" ht="24">
      <c r="A69" s="1067" t="s">
        <v>1031</v>
      </c>
      <c r="B69" s="2332">
        <f>估价对象房地状况!C15</f>
        <v>0</v>
      </c>
      <c r="C69" s="1159"/>
      <c r="D69" s="2338">
        <f t="shared" ref="D69:D77" si="20">SUMIF($J$68:$N$68,C69,J69:N69)</f>
        <v>0</v>
      </c>
      <c r="E69" s="2357">
        <f>ROUND(SUM(D69:D77),4)</f>
        <v>0</v>
      </c>
      <c r="F69" s="2358" t="str">
        <f>IF(E2="住宅",SUMIF(L1:L12,G2,N1:N12),"——")</f>
        <v>——</v>
      </c>
      <c r="G69" s="2339"/>
      <c r="H69" s="2381" t="str">
        <f t="shared" ref="H69:H77" si="21">IFERROR(ROUNDDOWN($F$69*I69/2,4),"——")</f>
        <v>——</v>
      </c>
      <c r="I69" s="2356">
        <v>0.14000000000000001</v>
      </c>
      <c r="J69" s="2359">
        <f t="shared" ref="J69:J77" si="22">K69+$G69</f>
        <v>0</v>
      </c>
      <c r="K69" s="2359">
        <f t="shared" ref="K69:K77" si="23">$L69+$G69</f>
        <v>0</v>
      </c>
      <c r="L69" s="2359">
        <v>0</v>
      </c>
      <c r="M69" s="2359">
        <f t="shared" ref="M69:N77" si="24">L69-$G69</f>
        <v>0</v>
      </c>
      <c r="N69" s="2359">
        <f t="shared" si="24"/>
        <v>0</v>
      </c>
      <c r="P69" s="2094"/>
      <c r="Q69" s="2094"/>
      <c r="R69" s="2095"/>
      <c r="S69" s="2095"/>
      <c r="T69" s="2095"/>
      <c r="U69" s="2095"/>
      <c r="V69" s="2095"/>
      <c r="W69" s="2094"/>
      <c r="X69" s="2094"/>
      <c r="Y69" s="2094"/>
      <c r="Z69" s="2094"/>
      <c r="AA69" s="2094"/>
      <c r="AB69" s="2094"/>
      <c r="AC69" s="2094"/>
      <c r="AD69" s="2095"/>
      <c r="AE69" s="1404"/>
      <c r="AF69" s="1404"/>
      <c r="AG69" s="1404"/>
      <c r="AH69" s="1404"/>
      <c r="AI69" s="1404"/>
      <c r="AJ69" s="1404"/>
      <c r="AK69" s="1404"/>
      <c r="AL69" s="1404"/>
      <c r="AM69" s="1404"/>
      <c r="AN69" s="1404"/>
    </row>
    <row r="70" spans="1:40" s="1403" customFormat="1" ht="14.25">
      <c r="A70" s="1067" t="s">
        <v>1032</v>
      </c>
      <c r="B70" s="2329">
        <f>估价对象房地状况!C18</f>
        <v>0</v>
      </c>
      <c r="C70" s="1159"/>
      <c r="D70" s="2338">
        <f t="shared" si="20"/>
        <v>0</v>
      </c>
      <c r="E70" s="2366"/>
      <c r="F70" s="2367"/>
      <c r="G70" s="2339"/>
      <c r="H70" s="2381" t="str">
        <f t="shared" si="21"/>
        <v>——</v>
      </c>
      <c r="I70" s="2356">
        <v>0.3</v>
      </c>
      <c r="J70" s="2359">
        <f t="shared" si="22"/>
        <v>0</v>
      </c>
      <c r="K70" s="2359">
        <f t="shared" si="23"/>
        <v>0</v>
      </c>
      <c r="L70" s="2359">
        <v>0</v>
      </c>
      <c r="M70" s="2359">
        <f t="shared" si="24"/>
        <v>0</v>
      </c>
      <c r="N70" s="2359">
        <f t="shared" si="24"/>
        <v>0</v>
      </c>
      <c r="P70" s="2094"/>
      <c r="Q70" s="2094"/>
      <c r="R70" s="2095"/>
      <c r="S70" s="2095"/>
      <c r="T70" s="2095"/>
      <c r="U70" s="2095"/>
      <c r="V70" s="2095"/>
      <c r="W70" s="2094"/>
      <c r="X70" s="2094"/>
      <c r="Y70" s="2094"/>
      <c r="Z70" s="2094"/>
      <c r="AA70" s="2094"/>
      <c r="AB70" s="2094"/>
      <c r="AC70" s="2094"/>
      <c r="AD70" s="2095"/>
      <c r="AE70" s="1404"/>
      <c r="AF70" s="1404"/>
      <c r="AG70" s="1404"/>
      <c r="AH70" s="1404"/>
      <c r="AI70" s="1404"/>
      <c r="AJ70" s="1404"/>
      <c r="AK70" s="1404"/>
      <c r="AL70" s="1404"/>
      <c r="AM70" s="1404"/>
      <c r="AN70" s="1404"/>
    </row>
    <row r="71" spans="1:40" s="1403" customFormat="1" ht="24">
      <c r="A71" s="1067" t="s">
        <v>1021</v>
      </c>
      <c r="B71" s="2329">
        <f>估价对象房地状况!C19</f>
        <v>0</v>
      </c>
      <c r="C71" s="1159"/>
      <c r="D71" s="2338">
        <f t="shared" si="20"/>
        <v>0</v>
      </c>
      <c r="E71" s="2366"/>
      <c r="F71" s="2367"/>
      <c r="G71" s="2339"/>
      <c r="H71" s="2381" t="str">
        <f t="shared" si="21"/>
        <v>——</v>
      </c>
      <c r="I71" s="2356">
        <v>0.08</v>
      </c>
      <c r="J71" s="2359">
        <f t="shared" si="22"/>
        <v>0</v>
      </c>
      <c r="K71" s="2359">
        <f t="shared" si="23"/>
        <v>0</v>
      </c>
      <c r="L71" s="2359">
        <v>0</v>
      </c>
      <c r="M71" s="2359">
        <f t="shared" si="24"/>
        <v>0</v>
      </c>
      <c r="N71" s="2359">
        <f t="shared" si="24"/>
        <v>0</v>
      </c>
      <c r="P71" s="2094"/>
      <c r="Q71" s="2094"/>
      <c r="R71" s="2095"/>
      <c r="S71" s="2095"/>
      <c r="T71" s="2095"/>
      <c r="U71" s="2095"/>
      <c r="V71" s="2095"/>
      <c r="W71" s="2094"/>
      <c r="X71" s="2094"/>
      <c r="Y71" s="2094"/>
      <c r="Z71" s="2094"/>
      <c r="AA71" s="2094"/>
      <c r="AB71" s="2094"/>
      <c r="AC71" s="2094"/>
      <c r="AD71" s="2095"/>
      <c r="AE71" s="1404"/>
      <c r="AF71" s="1404"/>
      <c r="AG71" s="1404"/>
      <c r="AH71" s="1404"/>
      <c r="AI71" s="1404"/>
      <c r="AJ71" s="1404"/>
      <c r="AK71" s="1404"/>
      <c r="AL71" s="1404"/>
      <c r="AM71" s="1404"/>
      <c r="AN71" s="1404"/>
    </row>
    <row r="72" spans="1:40" s="1403" customFormat="1" ht="14.25">
      <c r="A72" s="1067" t="s">
        <v>1033</v>
      </c>
      <c r="B72" s="2329">
        <f>估价对象房地状况!C24</f>
        <v>0</v>
      </c>
      <c r="C72" s="1159"/>
      <c r="D72" s="2338">
        <f t="shared" si="20"/>
        <v>0</v>
      </c>
      <c r="E72" s="2366"/>
      <c r="F72" s="2367"/>
      <c r="G72" s="2339"/>
      <c r="H72" s="2381" t="str">
        <f t="shared" si="21"/>
        <v>——</v>
      </c>
      <c r="I72" s="2356">
        <v>0.04</v>
      </c>
      <c r="J72" s="2359">
        <f t="shared" si="22"/>
        <v>0</v>
      </c>
      <c r="K72" s="2359">
        <f t="shared" si="23"/>
        <v>0</v>
      </c>
      <c r="L72" s="2359">
        <v>0</v>
      </c>
      <c r="M72" s="2359">
        <f t="shared" si="24"/>
        <v>0</v>
      </c>
      <c r="N72" s="2359">
        <f t="shared" si="24"/>
        <v>0</v>
      </c>
      <c r="P72" s="2094"/>
      <c r="Q72" s="2094"/>
      <c r="R72" s="2095"/>
      <c r="S72" s="2095"/>
      <c r="T72" s="2095"/>
      <c r="U72" s="2095"/>
      <c r="V72" s="2095"/>
      <c r="W72" s="2094"/>
      <c r="X72" s="2094"/>
      <c r="Y72" s="2094"/>
      <c r="Z72" s="2094"/>
      <c r="AA72" s="2094"/>
      <c r="AB72" s="2094"/>
      <c r="AC72" s="2094"/>
      <c r="AD72" s="2095"/>
      <c r="AE72" s="1404"/>
      <c r="AF72" s="1404"/>
      <c r="AG72" s="1404"/>
      <c r="AH72" s="1404"/>
      <c r="AI72" s="1404"/>
      <c r="AJ72" s="1404"/>
      <c r="AK72" s="1404"/>
      <c r="AL72" s="1404"/>
      <c r="AM72" s="1404"/>
      <c r="AN72" s="1404"/>
    </row>
    <row r="73" spans="1:40" s="1403" customFormat="1" ht="24">
      <c r="A73" s="1067" t="s">
        <v>1025</v>
      </c>
      <c r="B73" s="2330">
        <f>估价对象房地状况!C21</f>
        <v>0</v>
      </c>
      <c r="C73" s="1159"/>
      <c r="D73" s="2338">
        <f t="shared" si="20"/>
        <v>0</v>
      </c>
      <c r="E73" s="2366"/>
      <c r="F73" s="2367"/>
      <c r="G73" s="2339"/>
      <c r="H73" s="2381" t="str">
        <f t="shared" si="21"/>
        <v>——</v>
      </c>
      <c r="I73" s="2356">
        <v>0.08</v>
      </c>
      <c r="J73" s="2359">
        <f t="shared" si="22"/>
        <v>0</v>
      </c>
      <c r="K73" s="2359">
        <f t="shared" si="23"/>
        <v>0</v>
      </c>
      <c r="L73" s="2359">
        <v>0</v>
      </c>
      <c r="M73" s="2359">
        <f t="shared" si="24"/>
        <v>0</v>
      </c>
      <c r="N73" s="2359">
        <f t="shared" si="24"/>
        <v>0</v>
      </c>
      <c r="P73" s="2094"/>
      <c r="Q73" s="2094"/>
      <c r="R73" s="2095"/>
      <c r="S73" s="2095"/>
      <c r="T73" s="2095"/>
      <c r="U73" s="2095"/>
      <c r="V73" s="2095"/>
      <c r="W73" s="2094"/>
      <c r="X73" s="2094"/>
      <c r="Y73" s="2094"/>
      <c r="Z73" s="2094"/>
      <c r="AA73" s="2094"/>
      <c r="AB73" s="2094"/>
      <c r="AC73" s="2094"/>
      <c r="AD73" s="2095"/>
      <c r="AE73" s="1404"/>
      <c r="AF73" s="1404"/>
      <c r="AG73" s="1404"/>
      <c r="AH73" s="1404"/>
      <c r="AI73" s="1404"/>
      <c r="AJ73" s="1404"/>
      <c r="AK73" s="1404"/>
      <c r="AL73" s="1404"/>
      <c r="AM73" s="1404"/>
      <c r="AN73" s="1404"/>
    </row>
    <row r="74" spans="1:40" s="1403" customFormat="1" ht="24">
      <c r="A74" s="1067" t="s">
        <v>1026</v>
      </c>
      <c r="B74" s="2330">
        <f>估价对象房地状况!C22</f>
        <v>0</v>
      </c>
      <c r="C74" s="1159"/>
      <c r="D74" s="2338">
        <f t="shared" si="20"/>
        <v>0</v>
      </c>
      <c r="E74" s="2366"/>
      <c r="F74" s="2367"/>
      <c r="G74" s="2339"/>
      <c r="H74" s="2381" t="str">
        <f t="shared" si="21"/>
        <v>——</v>
      </c>
      <c r="I74" s="2356">
        <v>0.12</v>
      </c>
      <c r="J74" s="2359">
        <f t="shared" si="22"/>
        <v>0</v>
      </c>
      <c r="K74" s="2359">
        <f t="shared" si="23"/>
        <v>0</v>
      </c>
      <c r="L74" s="2359">
        <v>0</v>
      </c>
      <c r="M74" s="2359">
        <f t="shared" si="24"/>
        <v>0</v>
      </c>
      <c r="N74" s="2359">
        <f t="shared" si="24"/>
        <v>0</v>
      </c>
      <c r="P74" s="2094"/>
      <c r="Q74" s="2094"/>
      <c r="R74" s="2095"/>
      <c r="S74" s="2095"/>
      <c r="T74" s="2095"/>
      <c r="U74" s="2095"/>
      <c r="V74" s="2095"/>
      <c r="W74" s="2094"/>
      <c r="X74" s="2094"/>
      <c r="Y74" s="2094"/>
      <c r="Z74" s="2094"/>
      <c r="AA74" s="2094"/>
      <c r="AB74" s="2094"/>
      <c r="AC74" s="2094"/>
      <c r="AD74" s="2095"/>
      <c r="AE74" s="1404"/>
      <c r="AF74" s="1404"/>
      <c r="AG74" s="1404"/>
      <c r="AH74" s="1404"/>
      <c r="AI74" s="1404"/>
      <c r="AJ74" s="1404"/>
      <c r="AK74" s="1404"/>
      <c r="AL74" s="1404"/>
      <c r="AM74" s="1404"/>
      <c r="AN74" s="1404"/>
    </row>
    <row r="75" spans="1:40" s="1403" customFormat="1" ht="24">
      <c r="A75" s="1067" t="s">
        <v>1024</v>
      </c>
      <c r="B75" s="3006" t="s">
        <v>2925</v>
      </c>
      <c r="C75" s="1159"/>
      <c r="D75" s="2338">
        <f t="shared" si="20"/>
        <v>0</v>
      </c>
      <c r="E75" s="2366"/>
      <c r="F75" s="2367"/>
      <c r="G75" s="2339"/>
      <c r="H75" s="2381" t="str">
        <f t="shared" si="21"/>
        <v>——</v>
      </c>
      <c r="I75" s="2356">
        <v>0.05</v>
      </c>
      <c r="J75" s="2359">
        <f t="shared" si="22"/>
        <v>0</v>
      </c>
      <c r="K75" s="2359">
        <f t="shared" si="23"/>
        <v>0</v>
      </c>
      <c r="L75" s="2359">
        <v>0</v>
      </c>
      <c r="M75" s="2359">
        <f t="shared" si="24"/>
        <v>0</v>
      </c>
      <c r="N75" s="2359">
        <f t="shared" si="24"/>
        <v>0</v>
      </c>
      <c r="P75" s="2094"/>
      <c r="Q75" s="2094"/>
      <c r="R75" s="2095"/>
      <c r="S75" s="2095"/>
      <c r="T75" s="2095"/>
      <c r="U75" s="2095"/>
      <c r="V75" s="2095"/>
      <c r="W75" s="2094"/>
      <c r="X75" s="2094"/>
      <c r="Y75" s="2094"/>
      <c r="Z75" s="2094"/>
      <c r="AA75" s="2094"/>
      <c r="AB75" s="2094"/>
      <c r="AC75" s="2094"/>
      <c r="AD75" s="2095"/>
      <c r="AE75" s="1404"/>
      <c r="AF75" s="1404"/>
      <c r="AG75" s="1404"/>
      <c r="AH75" s="1404"/>
      <c r="AI75" s="1404"/>
      <c r="AJ75" s="1404"/>
      <c r="AK75" s="1404"/>
      <c r="AL75" s="1404"/>
      <c r="AM75" s="1404"/>
      <c r="AN75" s="1404"/>
    </row>
    <row r="76" spans="1:40" ht="24">
      <c r="A76" s="1067" t="s">
        <v>1027</v>
      </c>
      <c r="B76" s="2332">
        <f>估价对象房地状况!C20</f>
        <v>0</v>
      </c>
      <c r="C76" s="1159"/>
      <c r="D76" s="2338">
        <f t="shared" si="20"/>
        <v>0</v>
      </c>
      <c r="E76" s="2366"/>
      <c r="F76" s="2367"/>
      <c r="G76" s="2339"/>
      <c r="H76" s="2381" t="str">
        <f t="shared" si="21"/>
        <v>——</v>
      </c>
      <c r="I76" s="2356">
        <v>0.15</v>
      </c>
      <c r="J76" s="2359">
        <f t="shared" si="22"/>
        <v>0</v>
      </c>
      <c r="K76" s="2359">
        <f t="shared" si="23"/>
        <v>0</v>
      </c>
      <c r="L76" s="2359">
        <v>0</v>
      </c>
      <c r="M76" s="2359">
        <f t="shared" si="24"/>
        <v>0</v>
      </c>
      <c r="N76" s="2359">
        <f t="shared" si="24"/>
        <v>0</v>
      </c>
      <c r="P76" s="2097"/>
      <c r="Q76" s="2097"/>
      <c r="R76" s="2098"/>
      <c r="S76" s="2098"/>
      <c r="T76" s="2098"/>
      <c r="U76" s="2098"/>
      <c r="V76" s="2098"/>
      <c r="W76" s="2097"/>
      <c r="X76" s="2097"/>
      <c r="Y76" s="2097"/>
      <c r="Z76" s="2097"/>
      <c r="AA76" s="2097"/>
      <c r="AB76" s="2097"/>
      <c r="AC76" s="2097"/>
      <c r="AD76" s="2098"/>
      <c r="AJ76" s="1404"/>
      <c r="AN76" s="1405"/>
    </row>
    <row r="77" spans="1:40" ht="24.75" thickBot="1">
      <c r="A77" s="2362" t="s">
        <v>1034</v>
      </c>
      <c r="B77" s="1748"/>
      <c r="C77" s="1159"/>
      <c r="D77" s="2338">
        <f t="shared" si="20"/>
        <v>0</v>
      </c>
      <c r="E77" s="2368"/>
      <c r="F77" s="2367"/>
      <c r="G77" s="2339"/>
      <c r="H77" s="2381" t="str">
        <f t="shared" si="21"/>
        <v>——</v>
      </c>
      <c r="I77" s="2363">
        <v>0.04</v>
      </c>
      <c r="J77" s="2359">
        <f t="shared" si="22"/>
        <v>0</v>
      </c>
      <c r="K77" s="2359">
        <f t="shared" si="23"/>
        <v>0</v>
      </c>
      <c r="L77" s="2359">
        <v>0</v>
      </c>
      <c r="M77" s="2359">
        <f t="shared" si="24"/>
        <v>0</v>
      </c>
      <c r="N77" s="2359">
        <f t="shared" si="24"/>
        <v>0</v>
      </c>
      <c r="AC77" s="1406"/>
      <c r="AD77" s="1405"/>
      <c r="AJ77" s="1404"/>
      <c r="AN77" s="1405"/>
    </row>
    <row r="78" spans="1:40" ht="15">
      <c r="A78" s="2345" t="s">
        <v>1035</v>
      </c>
      <c r="B78" s="2346">
        <f>1+E80</f>
        <v>1</v>
      </c>
      <c r="C78" s="2365"/>
      <c r="D78" s="2348"/>
      <c r="E78" s="2349"/>
      <c r="F78" s="2350"/>
      <c r="G78" s="2344"/>
      <c r="H78" s="2344"/>
      <c r="I78" s="2344"/>
      <c r="J78" s="1066"/>
      <c r="K78" s="1066"/>
      <c r="L78" s="1066"/>
      <c r="M78" s="1066"/>
      <c r="N78" s="1066"/>
      <c r="AC78" s="1406"/>
      <c r="AD78" s="1405"/>
      <c r="AJ78" s="1404"/>
      <c r="AN78" s="1405"/>
    </row>
    <row r="79" spans="1:40" ht="24">
      <c r="A79" s="1067" t="s">
        <v>1007</v>
      </c>
      <c r="B79" s="2329"/>
      <c r="C79" s="2351" t="s">
        <v>1009</v>
      </c>
      <c r="D79" s="2352" t="s">
        <v>1010</v>
      </c>
      <c r="E79" s="2353" t="s">
        <v>1012</v>
      </c>
      <c r="F79" s="2354" t="s">
        <v>2251</v>
      </c>
      <c r="G79" s="2352" t="s">
        <v>1013</v>
      </c>
      <c r="H79" s="2335" t="s">
        <v>2414</v>
      </c>
      <c r="I79" s="2352" t="s">
        <v>1011</v>
      </c>
      <c r="J79" s="2355" t="s">
        <v>1014</v>
      </c>
      <c r="K79" s="2355" t="s">
        <v>1015</v>
      </c>
      <c r="L79" s="2355" t="s">
        <v>1016</v>
      </c>
      <c r="M79" s="2355" t="s">
        <v>1017</v>
      </c>
      <c r="N79" s="2355" t="s">
        <v>1018</v>
      </c>
      <c r="AC79" s="1406"/>
      <c r="AD79" s="1405"/>
      <c r="AJ79" s="1404"/>
      <c r="AN79" s="1405"/>
    </row>
    <row r="80" spans="1:40" ht="24">
      <c r="A80" s="1067" t="s">
        <v>1036</v>
      </c>
      <c r="B80" s="2329">
        <f>估价对象房地状况!G15</f>
        <v>0</v>
      </c>
      <c r="C80" s="1050"/>
      <c r="D80" s="2338">
        <f t="shared" ref="D80:D87" si="25">SUMIF($J$79:$N$79,C80,J80:N80)</f>
        <v>0</v>
      </c>
      <c r="E80" s="2357">
        <f>ROUND(SUM(D80:D87),4)</f>
        <v>0</v>
      </c>
      <c r="F80" s="2358" t="str">
        <f>IF(E2="工业",SUMIF(L1:L12,G2,N1:N12),"——")</f>
        <v>——</v>
      </c>
      <c r="G80" s="2336"/>
      <c r="H80" s="2380" t="str">
        <f t="shared" ref="H80:H87" si="26">IFERROR(ROUNDDOWN($F$80*I80/2,4),"——")</f>
        <v>——</v>
      </c>
      <c r="I80" s="2356">
        <v>0.26</v>
      </c>
      <c r="J80" s="2359">
        <f t="shared" ref="J80:J87" si="27">K80+$G80</f>
        <v>0</v>
      </c>
      <c r="K80" s="2359">
        <f t="shared" ref="K80:K87" si="28">$L80+$G80</f>
        <v>0</v>
      </c>
      <c r="L80" s="2359">
        <v>0</v>
      </c>
      <c r="M80" s="2359">
        <f t="shared" ref="M80:N87" si="29">L80-$G80</f>
        <v>0</v>
      </c>
      <c r="N80" s="2359">
        <f t="shared" si="29"/>
        <v>0</v>
      </c>
      <c r="AC80" s="1406"/>
      <c r="AD80" s="1405"/>
      <c r="AJ80" s="1404"/>
      <c r="AN80" s="1405"/>
    </row>
    <row r="81" spans="1:40" ht="14.25">
      <c r="A81" s="1067" t="s">
        <v>1032</v>
      </c>
      <c r="B81" s="2329">
        <f>估价对象房地状况!G16</f>
        <v>0</v>
      </c>
      <c r="C81" s="1050"/>
      <c r="D81" s="2338">
        <f t="shared" si="25"/>
        <v>0</v>
      </c>
      <c r="E81" s="2366"/>
      <c r="F81" s="2367"/>
      <c r="G81" s="2336"/>
      <c r="H81" s="2380" t="str">
        <f t="shared" si="26"/>
        <v>——</v>
      </c>
      <c r="I81" s="2356">
        <v>0.33</v>
      </c>
      <c r="J81" s="2359">
        <f t="shared" si="27"/>
        <v>0</v>
      </c>
      <c r="K81" s="2359">
        <f t="shared" si="28"/>
        <v>0</v>
      </c>
      <c r="L81" s="2359">
        <v>0</v>
      </c>
      <c r="M81" s="2359">
        <f t="shared" si="29"/>
        <v>0</v>
      </c>
      <c r="N81" s="2359">
        <f t="shared" si="29"/>
        <v>0</v>
      </c>
      <c r="AC81" s="1406"/>
      <c r="AD81" s="1405"/>
      <c r="AJ81" s="1404"/>
      <c r="AN81" s="1405"/>
    </row>
    <row r="82" spans="1:40" ht="24">
      <c r="A82" s="1067" t="s">
        <v>1021</v>
      </c>
      <c r="B82" s="2329">
        <f>估价对象房地状况!G17</f>
        <v>0</v>
      </c>
      <c r="C82" s="1050"/>
      <c r="D82" s="2338">
        <f t="shared" si="25"/>
        <v>0</v>
      </c>
      <c r="E82" s="2366"/>
      <c r="F82" s="2367"/>
      <c r="G82" s="2336"/>
      <c r="H82" s="2380" t="str">
        <f t="shared" si="26"/>
        <v>——</v>
      </c>
      <c r="I82" s="2356">
        <v>0.05</v>
      </c>
      <c r="J82" s="2359">
        <f t="shared" si="27"/>
        <v>0</v>
      </c>
      <c r="K82" s="2359">
        <f t="shared" si="28"/>
        <v>0</v>
      </c>
      <c r="L82" s="2359">
        <v>0</v>
      </c>
      <c r="M82" s="2359">
        <f t="shared" si="29"/>
        <v>0</v>
      </c>
      <c r="N82" s="2359">
        <f t="shared" si="29"/>
        <v>0</v>
      </c>
      <c r="AC82" s="1406"/>
      <c r="AD82" s="1405"/>
      <c r="AJ82" s="1404"/>
      <c r="AN82" s="1405"/>
    </row>
    <row r="83" spans="1:40" ht="14.25">
      <c r="A83" s="1067" t="s">
        <v>1033</v>
      </c>
      <c r="B83" s="2329">
        <f>估价对象房地状况!G22</f>
        <v>0</v>
      </c>
      <c r="C83" s="1050"/>
      <c r="D83" s="2338">
        <f t="shared" si="25"/>
        <v>0</v>
      </c>
      <c r="E83" s="2366"/>
      <c r="F83" s="2367"/>
      <c r="G83" s="2336"/>
      <c r="H83" s="2380" t="str">
        <f t="shared" si="26"/>
        <v>——</v>
      </c>
      <c r="I83" s="2356">
        <v>0.04</v>
      </c>
      <c r="J83" s="2359">
        <f t="shared" si="27"/>
        <v>0</v>
      </c>
      <c r="K83" s="2359">
        <f t="shared" si="28"/>
        <v>0</v>
      </c>
      <c r="L83" s="2359">
        <v>0</v>
      </c>
      <c r="M83" s="2359">
        <f t="shared" si="29"/>
        <v>0</v>
      </c>
      <c r="N83" s="2359">
        <f t="shared" si="29"/>
        <v>0</v>
      </c>
      <c r="AC83" s="1406"/>
      <c r="AD83" s="1405"/>
      <c r="AJ83" s="1404"/>
      <c r="AN83" s="1405"/>
    </row>
    <row r="84" spans="1:40" ht="24">
      <c r="A84" s="1067" t="s">
        <v>1025</v>
      </c>
      <c r="B84" s="2330">
        <f>估价对象房地状况!G19</f>
        <v>0</v>
      </c>
      <c r="C84" s="1050"/>
      <c r="D84" s="2338">
        <f t="shared" si="25"/>
        <v>0</v>
      </c>
      <c r="E84" s="2366"/>
      <c r="F84" s="2367"/>
      <c r="G84" s="2336"/>
      <c r="H84" s="2380" t="str">
        <f t="shared" si="26"/>
        <v>——</v>
      </c>
      <c r="I84" s="2356">
        <v>0.06</v>
      </c>
      <c r="J84" s="2359">
        <f t="shared" si="27"/>
        <v>0</v>
      </c>
      <c r="K84" s="2359">
        <f t="shared" si="28"/>
        <v>0</v>
      </c>
      <c r="L84" s="2359">
        <v>0</v>
      </c>
      <c r="M84" s="2359">
        <f t="shared" si="29"/>
        <v>0</v>
      </c>
      <c r="N84" s="2359">
        <f t="shared" si="29"/>
        <v>0</v>
      </c>
      <c r="AC84" s="1406"/>
      <c r="AD84" s="1405"/>
      <c r="AJ84" s="1404"/>
      <c r="AN84" s="1405"/>
    </row>
    <row r="85" spans="1:40" ht="24">
      <c r="A85" s="1067" t="s">
        <v>1026</v>
      </c>
      <c r="B85" s="2330">
        <f>估价对象房地状况!G20</f>
        <v>0</v>
      </c>
      <c r="C85" s="1050"/>
      <c r="D85" s="2338">
        <f t="shared" si="25"/>
        <v>0</v>
      </c>
      <c r="E85" s="2366"/>
      <c r="F85" s="2367"/>
      <c r="G85" s="2336"/>
      <c r="H85" s="2380" t="str">
        <f t="shared" si="26"/>
        <v>——</v>
      </c>
      <c r="I85" s="2356">
        <v>0.15</v>
      </c>
      <c r="J85" s="2359">
        <f t="shared" si="27"/>
        <v>0</v>
      </c>
      <c r="K85" s="2359">
        <f t="shared" si="28"/>
        <v>0</v>
      </c>
      <c r="L85" s="2359">
        <v>0</v>
      </c>
      <c r="M85" s="2359">
        <f t="shared" si="29"/>
        <v>0</v>
      </c>
      <c r="N85" s="2359">
        <f t="shared" si="29"/>
        <v>0</v>
      </c>
      <c r="AC85" s="1406"/>
      <c r="AD85" s="1405"/>
      <c r="AJ85" s="1404"/>
      <c r="AN85" s="1405"/>
    </row>
    <row r="86" spans="1:40" ht="24">
      <c r="A86" s="1067" t="s">
        <v>1024</v>
      </c>
      <c r="B86" s="3006" t="s">
        <v>2925</v>
      </c>
      <c r="C86" s="1050"/>
      <c r="D86" s="2338">
        <f t="shared" si="25"/>
        <v>0</v>
      </c>
      <c r="E86" s="2366"/>
      <c r="F86" s="2367"/>
      <c r="G86" s="2336"/>
      <c r="H86" s="2380" t="str">
        <f t="shared" si="26"/>
        <v>——</v>
      </c>
      <c r="I86" s="2356">
        <v>0.05</v>
      </c>
      <c r="J86" s="2359">
        <f t="shared" si="27"/>
        <v>0</v>
      </c>
      <c r="K86" s="2359">
        <f t="shared" si="28"/>
        <v>0</v>
      </c>
      <c r="L86" s="2359">
        <v>0</v>
      </c>
      <c r="M86" s="2359">
        <f t="shared" si="29"/>
        <v>0</v>
      </c>
      <c r="N86" s="2359">
        <f t="shared" si="29"/>
        <v>0</v>
      </c>
      <c r="AC86" s="1406"/>
      <c r="AD86" s="1405"/>
      <c r="AJ86" s="1404"/>
      <c r="AN86" s="1405"/>
    </row>
    <row r="87" spans="1:40" ht="15" thickBot="1">
      <c r="A87" s="2362" t="s">
        <v>1037</v>
      </c>
      <c r="B87" s="2331">
        <f>估价对象房地状况!G18</f>
        <v>0</v>
      </c>
      <c r="C87" s="1050"/>
      <c r="D87" s="2338">
        <f t="shared" si="25"/>
        <v>0</v>
      </c>
      <c r="E87" s="2368"/>
      <c r="F87" s="2367"/>
      <c r="G87" s="2336"/>
      <c r="H87" s="2380" t="str">
        <f t="shared" si="26"/>
        <v>——</v>
      </c>
      <c r="I87" s="2363">
        <v>0.06</v>
      </c>
      <c r="J87" s="2359">
        <f t="shared" si="27"/>
        <v>0</v>
      </c>
      <c r="K87" s="2359">
        <f t="shared" si="28"/>
        <v>0</v>
      </c>
      <c r="L87" s="2359">
        <v>0</v>
      </c>
      <c r="M87" s="2359">
        <f t="shared" si="29"/>
        <v>0</v>
      </c>
      <c r="N87" s="2359">
        <f t="shared" si="29"/>
        <v>0</v>
      </c>
      <c r="AC87" s="1406"/>
      <c r="AD87" s="1405"/>
      <c r="AJ87" s="1404"/>
      <c r="AN87" s="1405"/>
    </row>
    <row r="90" spans="1:40">
      <c r="A90" s="3593" t="s">
        <v>1632</v>
      </c>
      <c r="B90" s="3593"/>
      <c r="C90" s="3593"/>
      <c r="D90" s="3593"/>
      <c r="E90" s="3593"/>
      <c r="F90" s="3593"/>
      <c r="G90" s="3593"/>
      <c r="H90" s="3593"/>
      <c r="I90" s="3593"/>
      <c r="J90" s="3593"/>
      <c r="K90" s="2371"/>
      <c r="L90" s="2371"/>
      <c r="M90" s="2371"/>
      <c r="N90" s="2371"/>
    </row>
    <row r="91" spans="1:40">
      <c r="A91" s="3594" t="s">
        <v>1442</v>
      </c>
      <c r="B91" s="3594" t="s">
        <v>1633</v>
      </c>
      <c r="C91" s="1140" t="s">
        <v>1634</v>
      </c>
      <c r="D91" s="1141"/>
      <c r="E91" s="1141"/>
      <c r="F91" s="1141"/>
      <c r="G91" s="1141"/>
      <c r="H91" s="1141"/>
      <c r="I91" s="1141"/>
      <c r="J91" s="1142"/>
      <c r="K91" s="1134"/>
      <c r="L91" s="1134"/>
      <c r="M91" s="1134"/>
      <c r="N91" s="1134"/>
    </row>
    <row r="92" spans="1:40">
      <c r="A92" s="3594"/>
      <c r="B92" s="3594"/>
      <c r="C92" s="2370" t="s">
        <v>905</v>
      </c>
      <c r="D92" s="2370" t="s">
        <v>883</v>
      </c>
      <c r="E92" s="2370" t="s">
        <v>884</v>
      </c>
      <c r="F92" s="2370" t="s">
        <v>908</v>
      </c>
      <c r="G92" s="2370" t="s">
        <v>886</v>
      </c>
      <c r="H92" s="2370" t="s">
        <v>887</v>
      </c>
      <c r="I92" s="2370" t="s">
        <v>888</v>
      </c>
      <c r="J92" s="2370" t="s">
        <v>889</v>
      </c>
      <c r="K92" s="2370" t="s">
        <v>913</v>
      </c>
      <c r="L92" s="2370" t="s">
        <v>891</v>
      </c>
      <c r="M92" s="2370" t="s">
        <v>892</v>
      </c>
      <c r="N92" s="2370" t="s">
        <v>916</v>
      </c>
    </row>
    <row r="93" spans="1:40">
      <c r="A93" s="360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60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60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60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60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60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602"/>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60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601" t="s">
        <v>1636</v>
      </c>
      <c r="B101" s="1147" t="s">
        <v>904</v>
      </c>
      <c r="C101" s="1148">
        <f>$G$3</f>
        <v>1.4</v>
      </c>
      <c r="D101" s="1148">
        <f t="shared" ref="D101:N101" si="31">$G$3</f>
        <v>1.4</v>
      </c>
      <c r="E101" s="1148">
        <f t="shared" si="31"/>
        <v>1.4</v>
      </c>
      <c r="F101" s="1148">
        <f t="shared" si="31"/>
        <v>1.4</v>
      </c>
      <c r="G101" s="1148">
        <f t="shared" si="31"/>
        <v>1.4</v>
      </c>
      <c r="H101" s="1148">
        <f t="shared" si="31"/>
        <v>1.4</v>
      </c>
      <c r="I101" s="1148">
        <f t="shared" si="31"/>
        <v>1.4</v>
      </c>
      <c r="J101" s="1148">
        <f t="shared" si="31"/>
        <v>1.4</v>
      </c>
      <c r="K101" s="1148">
        <f t="shared" si="31"/>
        <v>1.4</v>
      </c>
      <c r="L101" s="1148">
        <f t="shared" si="31"/>
        <v>1.4</v>
      </c>
      <c r="M101" s="1148">
        <f t="shared" si="31"/>
        <v>1.4</v>
      </c>
      <c r="N101" s="1148">
        <f t="shared" si="31"/>
        <v>1.4</v>
      </c>
    </row>
    <row r="102" spans="1:14">
      <c r="A102" s="3602"/>
      <c r="B102" s="1143">
        <v>1</v>
      </c>
      <c r="C102" s="1144">
        <f>1.9362/C101</f>
        <v>1.383</v>
      </c>
      <c r="D102" s="1144">
        <f>1.9362/D101</f>
        <v>1.383</v>
      </c>
      <c r="E102" s="1144">
        <f>1.8629/E101</f>
        <v>1.3306428571428572</v>
      </c>
      <c r="F102" s="1144">
        <f>1.8629/F101</f>
        <v>1.3306428571428572</v>
      </c>
      <c r="G102" s="1144">
        <f>1.8629/G101</f>
        <v>1.3306428571428572</v>
      </c>
      <c r="H102" s="1144">
        <f>1.8629/H101</f>
        <v>1.3306428571428572</v>
      </c>
      <c r="I102" s="1144">
        <f>1.8629/I101</f>
        <v>1.3306428571428572</v>
      </c>
      <c r="J102" s="1144">
        <f>1.942/J101</f>
        <v>1.3871428571428572</v>
      </c>
      <c r="K102" s="1144">
        <f>1.942/K101</f>
        <v>1.3871428571428572</v>
      </c>
      <c r="L102" s="1144">
        <f>1.942/L101</f>
        <v>1.3871428571428572</v>
      </c>
      <c r="M102" s="1144">
        <f>1.942/M101</f>
        <v>1.3871428571428572</v>
      </c>
      <c r="N102" s="1144">
        <f>1.942/N101</f>
        <v>1.3871428571428572</v>
      </c>
    </row>
    <row r="103" spans="1:14">
      <c r="A103" s="3602"/>
      <c r="B103" s="1143">
        <v>2</v>
      </c>
      <c r="C103" s="1144">
        <f>1.4198/C101</f>
        <v>1.0141428571428572</v>
      </c>
      <c r="D103" s="1144">
        <f>1.4198/D101</f>
        <v>1.0141428571428572</v>
      </c>
      <c r="E103" s="1144">
        <f>1.3372/E101</f>
        <v>0.95514285714285718</v>
      </c>
      <c r="F103" s="1144">
        <f>1.3372/F101</f>
        <v>0.95514285714285718</v>
      </c>
      <c r="G103" s="1144">
        <f>1.3372/G101</f>
        <v>0.95514285714285718</v>
      </c>
      <c r="H103" s="1144">
        <f>1.3372/H101</f>
        <v>0.95514285714285718</v>
      </c>
      <c r="I103" s="1144">
        <f>1.3372/I101</f>
        <v>0.95514285714285718</v>
      </c>
      <c r="J103" s="1144">
        <f>1.2799/J101</f>
        <v>0.91421428571428576</v>
      </c>
      <c r="K103" s="1144">
        <f>1.2799/K101</f>
        <v>0.91421428571428576</v>
      </c>
      <c r="L103" s="1144">
        <f>1.2799/L101</f>
        <v>0.91421428571428576</v>
      </c>
      <c r="M103" s="1144">
        <f>1.2799/M101</f>
        <v>0.91421428571428576</v>
      </c>
      <c r="N103" s="1144">
        <f>1.2799/N101</f>
        <v>0.91421428571428576</v>
      </c>
    </row>
    <row r="104" spans="1:14">
      <c r="A104" s="3602"/>
      <c r="B104" s="1143">
        <v>3</v>
      </c>
      <c r="C104" s="1144">
        <f>1.1594/C101</f>
        <v>0.82814285714285718</v>
      </c>
      <c r="D104" s="1144">
        <f>1.1594/D101</f>
        <v>0.82814285714285718</v>
      </c>
      <c r="E104" s="1144">
        <f>1.0788/E101</f>
        <v>0.77057142857142857</v>
      </c>
      <c r="F104" s="1144">
        <f>1.0788/F101</f>
        <v>0.77057142857142857</v>
      </c>
      <c r="G104" s="1144">
        <f>1.0788/G101</f>
        <v>0.77057142857142857</v>
      </c>
      <c r="H104" s="1144">
        <f>1.0788/H101</f>
        <v>0.77057142857142857</v>
      </c>
      <c r="I104" s="1144">
        <f>1.0788/I101</f>
        <v>0.77057142857142857</v>
      </c>
      <c r="J104" s="1144">
        <f>1.0072/J101</f>
        <v>0.71942857142857153</v>
      </c>
      <c r="K104" s="1144">
        <f>1.0072/K101</f>
        <v>0.71942857142857153</v>
      </c>
      <c r="L104" s="1144">
        <f>1.0072/L101</f>
        <v>0.71942857142857153</v>
      </c>
      <c r="M104" s="1144">
        <f>1.0072/M101</f>
        <v>0.71942857142857153</v>
      </c>
      <c r="N104" s="1144">
        <f>1.0072/N101</f>
        <v>0.71942857142857153</v>
      </c>
    </row>
    <row r="105" spans="1:14">
      <c r="A105" s="3602"/>
      <c r="B105" s="1143">
        <v>4</v>
      </c>
      <c r="C105" s="1144">
        <f>0.9622/C101</f>
        <v>0.68728571428571439</v>
      </c>
      <c r="D105" s="1144">
        <f>0.9622/D101</f>
        <v>0.68728571428571439</v>
      </c>
      <c r="E105" s="1144">
        <f>0.8656/E101</f>
        <v>0.61828571428571433</v>
      </c>
      <c r="F105" s="1144">
        <f>0.8656/F101</f>
        <v>0.61828571428571433</v>
      </c>
      <c r="G105" s="1144">
        <f>0.8656/G101</f>
        <v>0.61828571428571433</v>
      </c>
      <c r="H105" s="1144">
        <f>0.8656/H101</f>
        <v>0.61828571428571433</v>
      </c>
      <c r="I105" s="1144">
        <f>0.8656/I101</f>
        <v>0.61828571428571433</v>
      </c>
      <c r="J105" s="1144">
        <f>0.7525/J101</f>
        <v>0.53749999999999998</v>
      </c>
      <c r="K105" s="1144">
        <f>0.7525/K101</f>
        <v>0.53749999999999998</v>
      </c>
      <c r="L105" s="1144">
        <f>0.7525/L101</f>
        <v>0.53749999999999998</v>
      </c>
      <c r="M105" s="1144">
        <f>0.7525/M101</f>
        <v>0.53749999999999998</v>
      </c>
      <c r="N105" s="1144">
        <f>0.7525/N101</f>
        <v>0.53749999999999998</v>
      </c>
    </row>
    <row r="106" spans="1:14">
      <c r="A106" s="3602"/>
      <c r="B106" s="1143">
        <v>5</v>
      </c>
      <c r="C106" s="1144">
        <f>0.8417/C101</f>
        <v>0.6012142857142857</v>
      </c>
      <c r="D106" s="1144">
        <f>0.8417/D101</f>
        <v>0.6012142857142857</v>
      </c>
      <c r="E106" s="1144">
        <f>0.7371/E101</f>
        <v>0.52649999999999997</v>
      </c>
      <c r="F106" s="1144">
        <f>0.7371/F101</f>
        <v>0.52649999999999997</v>
      </c>
      <c r="G106" s="1144">
        <f>0.7371/G101</f>
        <v>0.52649999999999997</v>
      </c>
      <c r="H106" s="1144">
        <f>0.7371/H101</f>
        <v>0.52649999999999997</v>
      </c>
      <c r="I106" s="1144">
        <f>0.7371/I101</f>
        <v>0.52649999999999997</v>
      </c>
      <c r="J106" s="1144">
        <f>0.5659/J101</f>
        <v>0.40421428571428569</v>
      </c>
      <c r="K106" s="1144">
        <f>0.5659/K101</f>
        <v>0.40421428571428569</v>
      </c>
      <c r="L106" s="1144">
        <f>0.5659/L101</f>
        <v>0.40421428571428569</v>
      </c>
      <c r="M106" s="1144">
        <f>0.5659/M101</f>
        <v>0.40421428571428569</v>
      </c>
      <c r="N106" s="1144">
        <f>0.5659/N101</f>
        <v>0.40421428571428569</v>
      </c>
    </row>
    <row r="107" spans="1:14">
      <c r="A107" s="3602"/>
      <c r="B107" s="1143">
        <v>6</v>
      </c>
      <c r="C107" s="1144">
        <f>0.7608/C101</f>
        <v>0.54342857142857148</v>
      </c>
      <c r="D107" s="1144">
        <f>0.7608/D101</f>
        <v>0.54342857142857148</v>
      </c>
      <c r="E107" s="1144">
        <f>0.6482/E101</f>
        <v>0.46300000000000002</v>
      </c>
      <c r="F107" s="1144">
        <f>0.6482/F101</f>
        <v>0.46300000000000002</v>
      </c>
      <c r="G107" s="1144">
        <f>0.6482/G101</f>
        <v>0.46300000000000002</v>
      </c>
      <c r="H107" s="1144">
        <f>0.6482/H101</f>
        <v>0.46300000000000002</v>
      </c>
      <c r="I107" s="1144">
        <f>0.6482/I101</f>
        <v>0.46300000000000002</v>
      </c>
      <c r="J107" s="1144">
        <f>0.4525/J101</f>
        <v>0.32321428571428573</v>
      </c>
      <c r="K107" s="1144">
        <f>0.4525/K101</f>
        <v>0.32321428571428573</v>
      </c>
      <c r="L107" s="1144">
        <f>0.4525/L101</f>
        <v>0.32321428571428573</v>
      </c>
      <c r="M107" s="1144">
        <f>0.4525/M101</f>
        <v>0.32321428571428573</v>
      </c>
      <c r="N107" s="1144">
        <f>0.4525/N101</f>
        <v>0.32321428571428573</v>
      </c>
    </row>
    <row r="108" spans="1:14">
      <c r="A108" s="3602"/>
      <c r="B108" s="3604"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603"/>
      <c r="B109" s="3605"/>
      <c r="C109" s="1146">
        <f>(-0.163*(C108^2)-0.59*C108+7617)*(10^(-4))/C101</f>
        <v>0.54298914285714284</v>
      </c>
      <c r="D109" s="1146">
        <f>(-0.163*(D108^2)-0.59*D108+7617)*(10^(-4))/D101</f>
        <v>0.54298914285714284</v>
      </c>
      <c r="E109" s="1146">
        <f>(-0.161*(E108^2)-7.509*E108+6533)*(10^(-4))/E101</f>
        <v>0.46161600000000003</v>
      </c>
      <c r="F109" s="1146">
        <f>(-0.161*(F108^2)-7.509*F108+6533)*(10^(-4))/F101</f>
        <v>0.46161600000000003</v>
      </c>
      <c r="G109" s="1146">
        <f>(-0.161*(G108^2)-7.509*G108+6533)*(10^(-4))/G101</f>
        <v>0.46161600000000003</v>
      </c>
      <c r="H109" s="1146">
        <f>(-0.161*(H108^2)-7.509*H108+6533)*(10^(-4))/H101</f>
        <v>0.46161600000000003</v>
      </c>
      <c r="I109" s="1146">
        <f>(-0.161*(I108^2)-7.509*I108+6533)*(10^(-4))/I101</f>
        <v>0.46161600000000003</v>
      </c>
      <c r="J109" s="1146">
        <f>(-0.214*(J108^2)-21.991*J108+4665)*(10^(-4))/J101</f>
        <v>0.31966971428571433</v>
      </c>
      <c r="K109" s="1146">
        <f>(-0.214*(K108^2)-21.991*K108+4665)*(10^(-4))/K101</f>
        <v>0.31966971428571433</v>
      </c>
      <c r="L109" s="1146">
        <f>(-0.214*(L108^2)-21.991*L108+4665)*(10^(-4))/L101</f>
        <v>0.31966971428571433</v>
      </c>
      <c r="M109" s="1146">
        <f>(-0.214*(M108^2)-21.991*M108+4665)*(10^(-4))/M101</f>
        <v>0.31966971428571433</v>
      </c>
      <c r="N109" s="1146">
        <f>(-0.214*(N108^2)-21.991*N108+4665)*(10^(-4))/N101</f>
        <v>0.31966971428571433</v>
      </c>
    </row>
    <row r="110" spans="1:14">
      <c r="A110" s="3588" t="s">
        <v>1638</v>
      </c>
      <c r="B110" s="3588"/>
      <c r="C110" s="3588"/>
      <c r="D110" s="3588"/>
      <c r="E110" s="3588"/>
      <c r="F110" s="3588"/>
      <c r="G110" s="3588"/>
      <c r="H110" s="3588"/>
      <c r="I110" s="3588"/>
      <c r="J110" s="3588"/>
      <c r="K110" s="2369"/>
      <c r="L110" s="2369"/>
      <c r="M110" s="2369"/>
      <c r="N110" s="2369"/>
    </row>
    <row r="112" spans="1:14" ht="12.75" thickBot="1"/>
    <row r="113" spans="1:13" ht="25.5" thickBot="1">
      <c r="A113" s="1016" t="s">
        <v>894</v>
      </c>
      <c r="B113" s="2372">
        <f>G3</f>
        <v>1.4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0.92030000000000001</v>
      </c>
      <c r="C115" s="1030">
        <f>B115</f>
        <v>0.92030000000000001</v>
      </c>
      <c r="D115" s="1030">
        <f>ROUND(0.8331-0.0109*B113,4)</f>
        <v>0.81779999999999997</v>
      </c>
      <c r="E115" s="1030">
        <f>D115</f>
        <v>0.81779999999999997</v>
      </c>
      <c r="F115" s="1030">
        <f>E115</f>
        <v>0.81779999999999997</v>
      </c>
      <c r="G115" s="1030">
        <f>F115</f>
        <v>0.81779999999999997</v>
      </c>
      <c r="H115" s="1030">
        <f>G115</f>
        <v>0.81779999999999997</v>
      </c>
      <c r="I115" s="1030">
        <f>ROUND(0.689-0.0155*B113,4)</f>
        <v>0.6673</v>
      </c>
      <c r="J115" s="1030">
        <f t="shared" ref="J115:M118" si="33">I115</f>
        <v>0.6673</v>
      </c>
      <c r="K115" s="1030">
        <f t="shared" si="33"/>
        <v>0.6673</v>
      </c>
      <c r="L115" s="1030">
        <f t="shared" si="33"/>
        <v>0.6673</v>
      </c>
      <c r="M115" s="1031">
        <f t="shared" si="33"/>
        <v>0.6673</v>
      </c>
    </row>
    <row r="116" spans="1:13" ht="12.75">
      <c r="A116" s="1029" t="s">
        <v>899</v>
      </c>
      <c r="B116" s="1030">
        <f>ROUND(0.949-0.012*B113,4)</f>
        <v>0.93220000000000003</v>
      </c>
      <c r="C116" s="1030">
        <f>B116</f>
        <v>0.93220000000000003</v>
      </c>
      <c r="D116" s="1030">
        <f>ROUND(0.8567-0.013*B113,4)</f>
        <v>0.83850000000000002</v>
      </c>
      <c r="E116" s="1030">
        <f t="shared" ref="E116:H117" si="34">D116</f>
        <v>0.83850000000000002</v>
      </c>
      <c r="F116" s="1030">
        <f t="shared" si="34"/>
        <v>0.83850000000000002</v>
      </c>
      <c r="G116" s="1030">
        <f t="shared" si="34"/>
        <v>0.83850000000000002</v>
      </c>
      <c r="H116" s="1030">
        <f t="shared" si="34"/>
        <v>0.83850000000000002</v>
      </c>
      <c r="I116" s="1030">
        <f>ROUND(0.7694-0.014*B113,4)</f>
        <v>0.74980000000000002</v>
      </c>
      <c r="J116" s="1030">
        <f t="shared" si="33"/>
        <v>0.74980000000000002</v>
      </c>
      <c r="K116" s="1030">
        <f t="shared" si="33"/>
        <v>0.74980000000000002</v>
      </c>
      <c r="L116" s="1030">
        <f t="shared" si="33"/>
        <v>0.74980000000000002</v>
      </c>
      <c r="M116" s="1031">
        <f t="shared" si="33"/>
        <v>0.74980000000000002</v>
      </c>
    </row>
    <row r="117" spans="1:13" ht="12.75">
      <c r="A117" s="1032" t="s">
        <v>900</v>
      </c>
      <c r="B117" s="1030">
        <f>ROUND(0.8808-0.006*B113,4)</f>
        <v>0.87239999999999995</v>
      </c>
      <c r="C117" s="1030">
        <f>B117</f>
        <v>0.87239999999999995</v>
      </c>
      <c r="D117" s="1030">
        <f>ROUND(0.8748-0.008*B113,4)</f>
        <v>0.86360000000000003</v>
      </c>
      <c r="E117" s="1030">
        <f t="shared" si="34"/>
        <v>0.86360000000000003</v>
      </c>
      <c r="F117" s="1030">
        <f t="shared" si="34"/>
        <v>0.86360000000000003</v>
      </c>
      <c r="G117" s="1030">
        <f t="shared" si="34"/>
        <v>0.86360000000000003</v>
      </c>
      <c r="H117" s="1030">
        <f t="shared" si="34"/>
        <v>0.86360000000000003</v>
      </c>
      <c r="I117" s="1030">
        <f>ROUND(0.7412-0.0095*B113,4)</f>
        <v>0.72789999999999999</v>
      </c>
      <c r="J117" s="1030">
        <f t="shared" si="33"/>
        <v>0.72789999999999999</v>
      </c>
      <c r="K117" s="1030">
        <f t="shared" si="33"/>
        <v>0.72789999999999999</v>
      </c>
      <c r="L117" s="1030">
        <f t="shared" si="33"/>
        <v>0.72789999999999999</v>
      </c>
      <c r="M117" s="1031">
        <f t="shared" si="33"/>
        <v>0.72789999999999999</v>
      </c>
    </row>
    <row r="118" spans="1:13" ht="13.5" thickBot="1">
      <c r="A118" s="1033" t="s">
        <v>901</v>
      </c>
      <c r="B118" s="1034">
        <f>ROUND(0.7275-0.01*B113,4)</f>
        <v>0.71350000000000002</v>
      </c>
      <c r="C118" s="1034">
        <f>B118</f>
        <v>0.71350000000000002</v>
      </c>
      <c r="D118" s="1034">
        <f>ROUND(0.7043-0.012*B113,4)</f>
        <v>0.6875</v>
      </c>
      <c r="E118" s="1034">
        <f>D118</f>
        <v>0.6875</v>
      </c>
      <c r="F118" s="1034">
        <f>E118</f>
        <v>0.6875</v>
      </c>
      <c r="G118" s="1034">
        <f>ROUND(0.6299-0.0122*B113,4)</f>
        <v>0.61280000000000001</v>
      </c>
      <c r="H118" s="1034">
        <f>G118</f>
        <v>0.61280000000000001</v>
      </c>
      <c r="I118" s="1034">
        <f>ROUND(0.5667-0.0136*B113,4)</f>
        <v>0.54769999999999996</v>
      </c>
      <c r="J118" s="1034">
        <f t="shared" si="33"/>
        <v>0.54769999999999996</v>
      </c>
      <c r="K118" s="1034">
        <f t="shared" si="33"/>
        <v>0.54769999999999996</v>
      </c>
      <c r="L118" s="1034">
        <f t="shared" si="33"/>
        <v>0.54769999999999996</v>
      </c>
      <c r="M118" s="1035">
        <f t="shared" si="33"/>
        <v>0.54769999999999996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594" t="s">
        <v>1006</v>
      </c>
      <c r="B18" s="1154" t="s">
        <v>1445</v>
      </c>
      <c r="C18" s="1131" t="s">
        <v>1446</v>
      </c>
      <c r="D18" s="1132"/>
      <c r="E18" s="1154">
        <v>1</v>
      </c>
      <c r="F18" s="1133" t="s">
        <v>1447</v>
      </c>
      <c r="G18" s="1134"/>
      <c r="H18" s="1105"/>
      <c r="I18" s="1105"/>
    </row>
    <row r="19" spans="1:9" s="1600" customFormat="1" ht="19.5" customHeight="1">
      <c r="A19" s="3594"/>
      <c r="B19" s="3594" t="s">
        <v>1448</v>
      </c>
      <c r="C19" s="1131" t="s">
        <v>1449</v>
      </c>
      <c r="D19" s="1132"/>
      <c r="E19" s="1154">
        <v>0.9</v>
      </c>
      <c r="F19" s="1133" t="s">
        <v>1450</v>
      </c>
      <c r="G19" s="1134"/>
      <c r="H19" s="1105"/>
      <c r="I19" s="1105"/>
    </row>
    <row r="20" spans="1:9" s="1600" customFormat="1" ht="19.5" customHeight="1">
      <c r="A20" s="3594"/>
      <c r="B20" s="3594"/>
      <c r="C20" s="1131" t="s">
        <v>1451</v>
      </c>
      <c r="D20" s="1132"/>
      <c r="E20" s="1154">
        <v>1.1000000000000001</v>
      </c>
      <c r="F20" s="1133" t="s">
        <v>1452</v>
      </c>
      <c r="G20" s="1134"/>
      <c r="H20" s="1105"/>
      <c r="I20" s="1105"/>
    </row>
    <row r="21" spans="1:9" s="1600" customFormat="1" ht="19.5" customHeight="1">
      <c r="A21" s="3594"/>
      <c r="B21" s="3594"/>
      <c r="C21" s="1131" t="s">
        <v>1453</v>
      </c>
      <c r="D21" s="1132"/>
      <c r="E21" s="1154">
        <v>0.8</v>
      </c>
      <c r="F21" s="1133" t="s">
        <v>1454</v>
      </c>
      <c r="G21" s="1134"/>
      <c r="H21" s="1105"/>
      <c r="I21" s="1105"/>
    </row>
    <row r="22" spans="1:9" s="1600" customFormat="1" ht="19.5" customHeight="1">
      <c r="A22" s="3594"/>
      <c r="B22" s="3594"/>
      <c r="C22" s="1131" t="s">
        <v>1455</v>
      </c>
      <c r="D22" s="1132"/>
      <c r="E22" s="1154">
        <v>0.5</v>
      </c>
      <c r="F22" s="1133"/>
      <c r="G22" s="1134"/>
      <c r="H22" s="1105"/>
      <c r="I22" s="1105"/>
    </row>
    <row r="23" spans="1:9" s="1600" customFormat="1" ht="19.5" customHeight="1">
      <c r="A23" s="3594" t="s">
        <v>1028</v>
      </c>
      <c r="B23" s="1154" t="s">
        <v>1445</v>
      </c>
      <c r="C23" s="1131" t="s">
        <v>1456</v>
      </c>
      <c r="D23" s="1132"/>
      <c r="E23" s="1154">
        <v>1</v>
      </c>
      <c r="F23" s="1133" t="s">
        <v>1457</v>
      </c>
      <c r="G23" s="1134"/>
      <c r="H23" s="1105"/>
      <c r="I23" s="1105"/>
    </row>
    <row r="24" spans="1:9" s="1600" customFormat="1" ht="19.5" customHeight="1">
      <c r="A24" s="3594"/>
      <c r="B24" s="3594" t="s">
        <v>1448</v>
      </c>
      <c r="C24" s="1131" t="s">
        <v>1458</v>
      </c>
      <c r="D24" s="1132"/>
      <c r="E24" s="1154">
        <v>0.5</v>
      </c>
      <c r="F24" s="1133"/>
      <c r="G24" s="1134"/>
      <c r="H24" s="1105"/>
      <c r="I24" s="1105"/>
    </row>
    <row r="25" spans="1:9" s="1600" customFormat="1" ht="19.5" customHeight="1">
      <c r="A25" s="3594"/>
      <c r="B25" s="3594"/>
      <c r="C25" s="1131" t="s">
        <v>1459</v>
      </c>
      <c r="D25" s="1132"/>
      <c r="E25" s="1154">
        <v>1.1000000000000001</v>
      </c>
      <c r="F25" s="1133"/>
      <c r="G25" s="1134"/>
      <c r="H25" s="1105"/>
      <c r="I25" s="1105"/>
    </row>
    <row r="26" spans="1:9" s="1600" customFormat="1" ht="19.5" customHeight="1">
      <c r="A26" s="3594"/>
      <c r="B26" s="3594"/>
      <c r="C26" s="1131" t="s">
        <v>1460</v>
      </c>
      <c r="D26" s="1132"/>
      <c r="E26" s="1154">
        <v>1.1000000000000001</v>
      </c>
      <c r="F26" s="1133"/>
      <c r="G26" s="1134"/>
      <c r="H26" s="1105"/>
      <c r="I26" s="1105"/>
    </row>
    <row r="27" spans="1:9" s="1600" customFormat="1" ht="19.5" customHeight="1">
      <c r="A27" s="3594"/>
      <c r="B27" s="3594"/>
      <c r="C27" s="1131" t="s">
        <v>1461</v>
      </c>
      <c r="D27" s="1132"/>
      <c r="E27" s="1154">
        <v>0.9</v>
      </c>
      <c r="F27" s="1133" t="s">
        <v>1462</v>
      </c>
      <c r="G27" s="1134"/>
      <c r="H27" s="1105"/>
      <c r="I27" s="1105"/>
    </row>
    <row r="28" spans="1:9" s="1600" customFormat="1" ht="19.5" customHeight="1">
      <c r="A28" s="3594"/>
      <c r="B28" s="3594"/>
      <c r="C28" s="1131" t="s">
        <v>1463</v>
      </c>
      <c r="D28" s="1132"/>
      <c r="E28" s="1154">
        <v>0.9</v>
      </c>
      <c r="F28" s="1133" t="s">
        <v>1464</v>
      </c>
      <c r="G28" s="1134"/>
      <c r="H28" s="1105"/>
      <c r="I28" s="1105"/>
    </row>
    <row r="29" spans="1:9" s="1600" customFormat="1" ht="19.5" customHeight="1">
      <c r="A29" s="3594"/>
      <c r="B29" s="3594"/>
      <c r="C29" s="1131" t="s">
        <v>1465</v>
      </c>
      <c r="D29" s="1132"/>
      <c r="E29" s="1154">
        <v>0.9</v>
      </c>
      <c r="F29" s="1133" t="s">
        <v>1466</v>
      </c>
      <c r="G29" s="1134"/>
      <c r="H29" s="1105"/>
      <c r="I29" s="1105"/>
    </row>
    <row r="30" spans="1:9" s="1600" customFormat="1" ht="19.5" customHeight="1">
      <c r="A30" s="3594"/>
      <c r="B30" s="3594"/>
      <c r="C30" s="1131" t="s">
        <v>1467</v>
      </c>
      <c r="D30" s="1132"/>
      <c r="E30" s="1154">
        <v>0.9</v>
      </c>
      <c r="F30" s="1133" t="s">
        <v>1468</v>
      </c>
      <c r="G30" s="1134"/>
      <c r="H30" s="1105"/>
      <c r="I30" s="1105"/>
    </row>
    <row r="31" spans="1:9" s="1600" customFormat="1" ht="19.5" customHeight="1">
      <c r="A31" s="3594"/>
      <c r="B31" s="3594"/>
      <c r="C31" s="1131" t="s">
        <v>1469</v>
      </c>
      <c r="D31" s="1132"/>
      <c r="E31" s="1154">
        <v>0.8</v>
      </c>
      <c r="F31" s="1133" t="s">
        <v>1470</v>
      </c>
      <c r="G31" s="1134"/>
      <c r="H31" s="1105"/>
      <c r="I31" s="1105"/>
    </row>
    <row r="32" spans="1:9" s="1600" customFormat="1" ht="19.5" customHeight="1">
      <c r="A32" s="3594"/>
      <c r="B32" s="3594"/>
      <c r="C32" s="1131" t="s">
        <v>1471</v>
      </c>
      <c r="D32" s="1132"/>
      <c r="E32" s="1154">
        <v>0.8</v>
      </c>
      <c r="F32" s="1133" t="s">
        <v>1472</v>
      </c>
      <c r="G32" s="1134"/>
      <c r="H32" s="1105"/>
      <c r="I32" s="1105"/>
    </row>
    <row r="33" spans="1:9" s="1600" customFormat="1" ht="19.5" customHeight="1">
      <c r="A33" s="3594" t="s">
        <v>1473</v>
      </c>
      <c r="B33" s="1154" t="s">
        <v>1445</v>
      </c>
      <c r="C33" s="1131" t="s">
        <v>1474</v>
      </c>
      <c r="D33" s="1132"/>
      <c r="E33" s="1154">
        <v>1</v>
      </c>
      <c r="F33" s="1133" t="s">
        <v>1475</v>
      </c>
      <c r="G33" s="1134"/>
      <c r="H33" s="1105"/>
      <c r="I33" s="1105"/>
    </row>
    <row r="34" spans="1:9" s="1600" customFormat="1" ht="19.5" customHeight="1">
      <c r="A34" s="3594"/>
      <c r="B34" s="1154" t="s">
        <v>1448</v>
      </c>
      <c r="C34" s="1131" t="s">
        <v>1476</v>
      </c>
      <c r="D34" s="1132"/>
      <c r="E34" s="1154">
        <v>1.5</v>
      </c>
      <c r="F34" s="1133" t="s">
        <v>1477</v>
      </c>
      <c r="G34" s="1134"/>
      <c r="H34" s="1105"/>
      <c r="I34" s="1105"/>
    </row>
    <row r="35" spans="1:9" s="1600" customFormat="1" ht="19.5" customHeight="1">
      <c r="A35" s="3594" t="s">
        <v>1431</v>
      </c>
      <c r="B35" s="1154" t="s">
        <v>1445</v>
      </c>
      <c r="C35" s="1131" t="s">
        <v>1478</v>
      </c>
      <c r="D35" s="1132"/>
      <c r="E35" s="1154">
        <v>1</v>
      </c>
      <c r="F35" s="1133" t="s">
        <v>1479</v>
      </c>
      <c r="G35" s="1134"/>
      <c r="H35" s="1105"/>
      <c r="I35" s="1105"/>
    </row>
    <row r="36" spans="1:9" s="1600" customFormat="1" ht="19.5" customHeight="1">
      <c r="A36" s="3594"/>
      <c r="B36" s="3594" t="s">
        <v>1448</v>
      </c>
      <c r="C36" s="1131" t="s">
        <v>1480</v>
      </c>
      <c r="D36" s="1132"/>
      <c r="E36" s="1154">
        <v>1</v>
      </c>
      <c r="F36" s="1133" t="s">
        <v>1481</v>
      </c>
      <c r="G36" s="1134"/>
      <c r="H36" s="1105"/>
      <c r="I36" s="1105"/>
    </row>
    <row r="37" spans="1:9" s="1600" customFormat="1" ht="19.5" customHeight="1">
      <c r="A37" s="3594"/>
      <c r="B37" s="3594"/>
      <c r="C37" s="1131" t="s">
        <v>1482</v>
      </c>
      <c r="D37" s="1132"/>
      <c r="E37" s="1154">
        <v>1.5</v>
      </c>
      <c r="F37" s="1133" t="s">
        <v>1483</v>
      </c>
      <c r="G37" s="1134"/>
      <c r="H37" s="1105"/>
      <c r="I37" s="1105"/>
    </row>
    <row r="38" spans="1:9" s="1600" customFormat="1" ht="19.5" customHeight="1">
      <c r="A38" s="3594"/>
      <c r="B38" s="3594"/>
      <c r="C38" s="1131" t="s">
        <v>1484</v>
      </c>
      <c r="D38" s="1132"/>
      <c r="E38" s="1154">
        <v>1</v>
      </c>
      <c r="F38" s="1133" t="s">
        <v>1485</v>
      </c>
      <c r="G38" s="1134"/>
      <c r="H38" s="1105"/>
      <c r="I38" s="1105"/>
    </row>
    <row r="39" spans="1:9" s="1600" customFormat="1" ht="19.5" customHeight="1">
      <c r="A39" s="3594"/>
      <c r="B39" s="3594"/>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594" t="s">
        <v>1500</v>
      </c>
      <c r="C61" s="1068" t="s">
        <v>1501</v>
      </c>
      <c r="D61" s="1068" t="s">
        <v>1502</v>
      </c>
      <c r="E61" s="1139">
        <v>0.5</v>
      </c>
      <c r="F61" s="1154">
        <v>80</v>
      </c>
      <c r="H61" s="1105">
        <f>SUMIF(C59:C119,基准地价!C8,E59:E119)</f>
        <v>0</v>
      </c>
    </row>
    <row r="62" spans="1:8" s="1105" customFormat="1" ht="24">
      <c r="A62" s="1154">
        <v>2</v>
      </c>
      <c r="B62" s="3594"/>
      <c r="C62" s="1068" t="s">
        <v>1503</v>
      </c>
      <c r="D62" s="1068" t="s">
        <v>1504</v>
      </c>
      <c r="E62" s="1139">
        <v>0.5</v>
      </c>
      <c r="F62" s="1154">
        <v>80</v>
      </c>
    </row>
    <row r="63" spans="1:8" s="1105" customFormat="1" ht="36">
      <c r="A63" s="1154">
        <v>3</v>
      </c>
      <c r="B63" s="3594"/>
      <c r="C63" s="1068" t="s">
        <v>1505</v>
      </c>
      <c r="D63" s="1068" t="s">
        <v>1506</v>
      </c>
      <c r="E63" s="1139">
        <v>0.5</v>
      </c>
      <c r="F63" s="1154">
        <v>80</v>
      </c>
    </row>
    <row r="64" spans="1:8" s="1105" customFormat="1" ht="36">
      <c r="A64" s="1154">
        <v>4</v>
      </c>
      <c r="B64" s="3594"/>
      <c r="C64" s="1068" t="s">
        <v>1507</v>
      </c>
      <c r="D64" s="1068" t="s">
        <v>1508</v>
      </c>
      <c r="E64" s="1139">
        <v>0.4</v>
      </c>
      <c r="F64" s="1154">
        <v>60</v>
      </c>
    </row>
    <row r="65" spans="1:6" s="1105" customFormat="1" ht="36">
      <c r="A65" s="1154">
        <v>5</v>
      </c>
      <c r="B65" s="3594"/>
      <c r="C65" s="1068" t="s">
        <v>1509</v>
      </c>
      <c r="D65" s="1068" t="s">
        <v>1510</v>
      </c>
      <c r="E65" s="1139">
        <v>0.2</v>
      </c>
      <c r="F65" s="1154">
        <v>30</v>
      </c>
    </row>
    <row r="66" spans="1:6" s="1105" customFormat="1" ht="36">
      <c r="A66" s="1154">
        <v>6</v>
      </c>
      <c r="B66" s="3594"/>
      <c r="C66" s="1068" t="s">
        <v>1511</v>
      </c>
      <c r="D66" s="1068" t="s">
        <v>1512</v>
      </c>
      <c r="E66" s="1139">
        <v>0.3</v>
      </c>
      <c r="F66" s="1154">
        <v>50</v>
      </c>
    </row>
    <row r="67" spans="1:6" s="1105" customFormat="1" ht="36">
      <c r="A67" s="1154">
        <v>7</v>
      </c>
      <c r="B67" s="3594"/>
      <c r="C67" s="1068" t="s">
        <v>1513</v>
      </c>
      <c r="D67" s="1068" t="s">
        <v>1514</v>
      </c>
      <c r="E67" s="1139">
        <v>0.2</v>
      </c>
      <c r="F67" s="1154">
        <v>30</v>
      </c>
    </row>
    <row r="68" spans="1:6" s="1105" customFormat="1" ht="36">
      <c r="A68" s="1154">
        <v>8</v>
      </c>
      <c r="B68" s="3594"/>
      <c r="C68" s="1068" t="s">
        <v>1515</v>
      </c>
      <c r="D68" s="1068" t="s">
        <v>1516</v>
      </c>
      <c r="E68" s="1139">
        <v>0.2</v>
      </c>
      <c r="F68" s="1154">
        <v>30</v>
      </c>
    </row>
    <row r="69" spans="1:6" s="1105" customFormat="1" ht="36">
      <c r="A69" s="1154">
        <v>9</v>
      </c>
      <c r="B69" s="3594"/>
      <c r="C69" s="1068" t="s">
        <v>1517</v>
      </c>
      <c r="D69" s="1068" t="s">
        <v>1518</v>
      </c>
      <c r="E69" s="1139">
        <v>0.2</v>
      </c>
      <c r="F69" s="1154">
        <v>30</v>
      </c>
    </row>
    <row r="70" spans="1:6" s="1105" customFormat="1" ht="48">
      <c r="A70" s="1154">
        <v>10</v>
      </c>
      <c r="B70" s="3594"/>
      <c r="C70" s="1068" t="s">
        <v>1519</v>
      </c>
      <c r="D70" s="1068" t="s">
        <v>1520</v>
      </c>
      <c r="E70" s="1139">
        <v>0.2</v>
      </c>
      <c r="F70" s="1154">
        <v>30</v>
      </c>
    </row>
    <row r="71" spans="1:6" s="1105" customFormat="1" ht="48">
      <c r="A71" s="1154">
        <v>11</v>
      </c>
      <c r="B71" s="3594"/>
      <c r="C71" s="1068" t="s">
        <v>1521</v>
      </c>
      <c r="D71" s="1068" t="s">
        <v>1522</v>
      </c>
      <c r="E71" s="1139">
        <v>0.2</v>
      </c>
      <c r="F71" s="1154">
        <v>30</v>
      </c>
    </row>
    <row r="72" spans="1:6" s="1105" customFormat="1" ht="36">
      <c r="A72" s="1154">
        <v>12</v>
      </c>
      <c r="B72" s="3594"/>
      <c r="C72" s="1068" t="s">
        <v>1523</v>
      </c>
      <c r="D72" s="1068" t="s">
        <v>1524</v>
      </c>
      <c r="E72" s="1139">
        <v>0.5</v>
      </c>
      <c r="F72" s="1154">
        <v>80</v>
      </c>
    </row>
    <row r="73" spans="1:6" s="1105" customFormat="1" ht="24">
      <c r="A73" s="1154">
        <v>13</v>
      </c>
      <c r="B73" s="3594"/>
      <c r="C73" s="1068" t="s">
        <v>1525</v>
      </c>
      <c r="D73" s="1068" t="s">
        <v>1526</v>
      </c>
      <c r="E73" s="1139">
        <v>0.4</v>
      </c>
      <c r="F73" s="1154">
        <v>60</v>
      </c>
    </row>
    <row r="74" spans="1:6" s="1105" customFormat="1" ht="24">
      <c r="A74" s="1154">
        <v>14</v>
      </c>
      <c r="B74" s="3594"/>
      <c r="C74" s="1068" t="s">
        <v>1527</v>
      </c>
      <c r="D74" s="1068" t="s">
        <v>1528</v>
      </c>
      <c r="E74" s="1139">
        <v>0.2</v>
      </c>
      <c r="F74" s="1154">
        <v>30</v>
      </c>
    </row>
    <row r="75" spans="1:6" s="1105" customFormat="1" ht="24">
      <c r="A75" s="1154">
        <v>15</v>
      </c>
      <c r="B75" s="3594"/>
      <c r="C75" s="1068" t="s">
        <v>1529</v>
      </c>
      <c r="D75" s="1068" t="s">
        <v>1530</v>
      </c>
      <c r="E75" s="1139">
        <v>0.2</v>
      </c>
      <c r="F75" s="1154">
        <v>30</v>
      </c>
    </row>
    <row r="76" spans="1:6" s="1105" customFormat="1" ht="24">
      <c r="A76" s="1154">
        <v>16</v>
      </c>
      <c r="B76" s="3594" t="s">
        <v>1531</v>
      </c>
      <c r="C76" s="1068" t="s">
        <v>1532</v>
      </c>
      <c r="D76" s="1068" t="s">
        <v>1533</v>
      </c>
      <c r="E76" s="1139">
        <v>0.5</v>
      </c>
      <c r="F76" s="1154">
        <v>80</v>
      </c>
    </row>
    <row r="77" spans="1:6" s="1105" customFormat="1" ht="24">
      <c r="A77" s="1154">
        <v>17</v>
      </c>
      <c r="B77" s="3594"/>
      <c r="C77" s="1068" t="s">
        <v>1534</v>
      </c>
      <c r="D77" s="1068" t="s">
        <v>1535</v>
      </c>
      <c r="E77" s="1139">
        <v>0.5</v>
      </c>
      <c r="F77" s="1154">
        <v>80</v>
      </c>
    </row>
    <row r="78" spans="1:6" s="1105" customFormat="1" ht="24">
      <c r="A78" s="1154">
        <v>18</v>
      </c>
      <c r="B78" s="3594"/>
      <c r="C78" s="1068" t="s">
        <v>1536</v>
      </c>
      <c r="D78" s="1068" t="s">
        <v>1537</v>
      </c>
      <c r="E78" s="1139">
        <v>0.2</v>
      </c>
      <c r="F78" s="1154">
        <v>30</v>
      </c>
    </row>
    <row r="79" spans="1:6" s="1105" customFormat="1" ht="24">
      <c r="A79" s="1154">
        <v>19</v>
      </c>
      <c r="B79" s="3594"/>
      <c r="C79" s="1068" t="s">
        <v>1538</v>
      </c>
      <c r="D79" s="1068" t="s">
        <v>1539</v>
      </c>
      <c r="E79" s="1139">
        <v>0.5</v>
      </c>
      <c r="F79" s="1154">
        <v>80</v>
      </c>
    </row>
    <row r="80" spans="1:6" s="1105" customFormat="1" ht="36">
      <c r="A80" s="1154">
        <v>20</v>
      </c>
      <c r="B80" s="3594"/>
      <c r="C80" s="1068" t="s">
        <v>1540</v>
      </c>
      <c r="D80" s="1068" t="s">
        <v>1541</v>
      </c>
      <c r="E80" s="1139">
        <v>0.2</v>
      </c>
      <c r="F80" s="1154">
        <v>30</v>
      </c>
    </row>
    <row r="81" spans="1:6" s="1105" customFormat="1" ht="36">
      <c r="A81" s="1154">
        <v>21</v>
      </c>
      <c r="B81" s="3594"/>
      <c r="C81" s="1068" t="s">
        <v>1542</v>
      </c>
      <c r="D81" s="1068" t="s">
        <v>1543</v>
      </c>
      <c r="E81" s="1139">
        <v>0.2</v>
      </c>
      <c r="F81" s="1154">
        <v>30</v>
      </c>
    </row>
    <row r="82" spans="1:6" s="1105" customFormat="1" ht="48">
      <c r="A82" s="1154">
        <v>22</v>
      </c>
      <c r="B82" s="3594"/>
      <c r="C82" s="1068" t="s">
        <v>1544</v>
      </c>
      <c r="D82" s="1068" t="s">
        <v>1545</v>
      </c>
      <c r="E82" s="1139">
        <v>0.2</v>
      </c>
      <c r="F82" s="1154">
        <v>30</v>
      </c>
    </row>
    <row r="83" spans="1:6" s="1105" customFormat="1" ht="48">
      <c r="A83" s="1154">
        <v>23</v>
      </c>
      <c r="B83" s="3594"/>
      <c r="C83" s="1068" t="s">
        <v>1546</v>
      </c>
      <c r="D83" s="1068" t="s">
        <v>1547</v>
      </c>
      <c r="E83" s="1139">
        <v>0.2</v>
      </c>
      <c r="F83" s="1154">
        <v>30</v>
      </c>
    </row>
    <row r="84" spans="1:6" s="1105" customFormat="1" ht="36">
      <c r="A84" s="1154">
        <v>24</v>
      </c>
      <c r="B84" s="3594"/>
      <c r="C84" s="1068" t="s">
        <v>1548</v>
      </c>
      <c r="D84" s="1068" t="s">
        <v>1549</v>
      </c>
      <c r="E84" s="1139">
        <v>0.2</v>
      </c>
      <c r="F84" s="1154">
        <v>30</v>
      </c>
    </row>
    <row r="85" spans="1:6" s="1105" customFormat="1" ht="36">
      <c r="A85" s="1154">
        <v>25</v>
      </c>
      <c r="B85" s="3594"/>
      <c r="C85" s="1068" t="s">
        <v>1550</v>
      </c>
      <c r="D85" s="1068" t="s">
        <v>1551</v>
      </c>
      <c r="E85" s="1139">
        <v>0.5</v>
      </c>
      <c r="F85" s="1154">
        <v>80</v>
      </c>
    </row>
    <row r="86" spans="1:6" s="1105" customFormat="1" ht="36">
      <c r="A86" s="1154">
        <v>26</v>
      </c>
      <c r="B86" s="3594"/>
      <c r="C86" s="1068" t="s">
        <v>1552</v>
      </c>
      <c r="D86" s="1068" t="s">
        <v>1553</v>
      </c>
      <c r="E86" s="1139">
        <v>0.2</v>
      </c>
      <c r="F86" s="1154">
        <v>30</v>
      </c>
    </row>
    <row r="87" spans="1:6" s="1105" customFormat="1" ht="36">
      <c r="A87" s="1154">
        <v>27</v>
      </c>
      <c r="B87" s="3594"/>
      <c r="C87" s="1068" t="s">
        <v>1554</v>
      </c>
      <c r="D87" s="1068" t="s">
        <v>1555</v>
      </c>
      <c r="E87" s="1139">
        <v>0.2</v>
      </c>
      <c r="F87" s="1154">
        <v>30</v>
      </c>
    </row>
    <row r="88" spans="1:6" s="1105" customFormat="1" ht="36">
      <c r="A88" s="1154">
        <v>28</v>
      </c>
      <c r="B88" s="3594"/>
      <c r="C88" s="1068" t="s">
        <v>1556</v>
      </c>
      <c r="D88" s="1068" t="s">
        <v>1557</v>
      </c>
      <c r="E88" s="1139">
        <v>0.2</v>
      </c>
      <c r="F88" s="1154">
        <v>30</v>
      </c>
    </row>
    <row r="89" spans="1:6" s="1105" customFormat="1" ht="24">
      <c r="A89" s="1154">
        <v>29</v>
      </c>
      <c r="B89" s="3594"/>
      <c r="C89" s="1068" t="s">
        <v>1558</v>
      </c>
      <c r="D89" s="1068" t="s">
        <v>1559</v>
      </c>
      <c r="E89" s="1139">
        <v>0.2</v>
      </c>
      <c r="F89" s="1154">
        <v>30</v>
      </c>
    </row>
    <row r="90" spans="1:6" s="1105" customFormat="1" ht="24">
      <c r="A90" s="1154">
        <v>30</v>
      </c>
      <c r="B90" s="3594"/>
      <c r="C90" s="1068" t="s">
        <v>1560</v>
      </c>
      <c r="D90" s="1068" t="s">
        <v>1561</v>
      </c>
      <c r="E90" s="1139">
        <v>0.2</v>
      </c>
      <c r="F90" s="1154">
        <v>30</v>
      </c>
    </row>
    <row r="91" spans="1:6" s="1105" customFormat="1" ht="36">
      <c r="A91" s="1154">
        <v>31</v>
      </c>
      <c r="B91" s="3594"/>
      <c r="C91" s="1068" t="s">
        <v>1562</v>
      </c>
      <c r="D91" s="1068" t="s">
        <v>1563</v>
      </c>
      <c r="E91" s="1139">
        <v>0.2</v>
      </c>
      <c r="F91" s="1154">
        <v>30</v>
      </c>
    </row>
    <row r="92" spans="1:6" s="1105" customFormat="1" ht="24">
      <c r="A92" s="1154">
        <v>32</v>
      </c>
      <c r="B92" s="3594" t="s">
        <v>1564</v>
      </c>
      <c r="C92" s="1154" t="s">
        <v>1565</v>
      </c>
      <c r="D92" s="1068" t="s">
        <v>1566</v>
      </c>
      <c r="E92" s="1139">
        <v>0.2</v>
      </c>
      <c r="F92" s="1154">
        <v>30</v>
      </c>
    </row>
    <row r="93" spans="1:6" s="1105" customFormat="1" ht="36">
      <c r="A93" s="1154">
        <v>33</v>
      </c>
      <c r="B93" s="3594"/>
      <c r="C93" s="1154" t="s">
        <v>1567</v>
      </c>
      <c r="D93" s="1068" t="s">
        <v>1568</v>
      </c>
      <c r="E93" s="1139">
        <v>0.2</v>
      </c>
      <c r="F93" s="1154">
        <v>30</v>
      </c>
    </row>
    <row r="94" spans="1:6" s="1105" customFormat="1" ht="48">
      <c r="A94" s="1154">
        <v>34</v>
      </c>
      <c r="B94" s="3594"/>
      <c r="C94" s="1154" t="s">
        <v>1569</v>
      </c>
      <c r="D94" s="1068" t="s">
        <v>1570</v>
      </c>
      <c r="E94" s="1139">
        <v>0.2</v>
      </c>
      <c r="F94" s="1154">
        <v>30</v>
      </c>
    </row>
    <row r="95" spans="1:6" s="1105" customFormat="1" ht="36">
      <c r="A95" s="1154">
        <v>35</v>
      </c>
      <c r="B95" s="3594"/>
      <c r="C95" s="1154" t="s">
        <v>1571</v>
      </c>
      <c r="D95" s="1068" t="s">
        <v>1572</v>
      </c>
      <c r="E95" s="1139">
        <v>0.2</v>
      </c>
      <c r="F95" s="1154">
        <v>30</v>
      </c>
    </row>
    <row r="96" spans="1:6" s="1105" customFormat="1" ht="48">
      <c r="A96" s="1154">
        <v>36</v>
      </c>
      <c r="B96" s="3594"/>
      <c r="C96" s="1068" t="s">
        <v>1573</v>
      </c>
      <c r="D96" s="1068" t="s">
        <v>1574</v>
      </c>
      <c r="E96" s="1139">
        <v>0.2</v>
      </c>
      <c r="F96" s="1154">
        <v>30</v>
      </c>
    </row>
    <row r="97" spans="1:6" s="1105" customFormat="1" ht="36">
      <c r="A97" s="1154">
        <v>37</v>
      </c>
      <c r="B97" s="3594"/>
      <c r="C97" s="1154" t="s">
        <v>1575</v>
      </c>
      <c r="D97" s="1068" t="s">
        <v>1576</v>
      </c>
      <c r="E97" s="1139">
        <v>0.2</v>
      </c>
      <c r="F97" s="1154">
        <v>30</v>
      </c>
    </row>
    <row r="98" spans="1:6" s="1105" customFormat="1" ht="36">
      <c r="A98" s="1154">
        <v>38</v>
      </c>
      <c r="B98" s="3594"/>
      <c r="C98" s="1154" t="s">
        <v>1577</v>
      </c>
      <c r="D98" s="1068" t="s">
        <v>1578</v>
      </c>
      <c r="E98" s="1139">
        <v>0.2</v>
      </c>
      <c r="F98" s="1154">
        <v>30</v>
      </c>
    </row>
    <row r="99" spans="1:6" s="1105" customFormat="1" ht="36">
      <c r="A99" s="1154">
        <v>39</v>
      </c>
      <c r="B99" s="3594" t="s">
        <v>1579</v>
      </c>
      <c r="C99" s="1154" t="s">
        <v>1580</v>
      </c>
      <c r="D99" s="1068" t="s">
        <v>1581</v>
      </c>
      <c r="E99" s="1139">
        <v>0.3</v>
      </c>
      <c r="F99" s="1154">
        <v>50</v>
      </c>
    </row>
    <row r="100" spans="1:6" s="1105" customFormat="1" ht="24">
      <c r="A100" s="1154">
        <v>40</v>
      </c>
      <c r="B100" s="3594"/>
      <c r="C100" s="1154" t="s">
        <v>1582</v>
      </c>
      <c r="D100" s="1068" t="s">
        <v>1583</v>
      </c>
      <c r="E100" s="1139">
        <v>0.2</v>
      </c>
      <c r="F100" s="1154">
        <v>30</v>
      </c>
    </row>
    <row r="101" spans="1:6" s="1105" customFormat="1" ht="36">
      <c r="A101" s="1154">
        <v>41</v>
      </c>
      <c r="B101" s="3594"/>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594" t="s">
        <v>1594</v>
      </c>
      <c r="C105" s="1154" t="s">
        <v>1595</v>
      </c>
      <c r="D105" s="1068" t="s">
        <v>1596</v>
      </c>
      <c r="E105" s="1139">
        <v>0.2</v>
      </c>
      <c r="F105" s="1154">
        <v>30</v>
      </c>
    </row>
    <row r="106" spans="1:6" s="1105" customFormat="1" ht="36">
      <c r="A106" s="1154">
        <v>46</v>
      </c>
      <c r="B106" s="3594"/>
      <c r="C106" s="1154" t="s">
        <v>1597</v>
      </c>
      <c r="D106" s="1068" t="s">
        <v>1598</v>
      </c>
      <c r="E106" s="1139">
        <v>0.2</v>
      </c>
      <c r="F106" s="1154">
        <v>30</v>
      </c>
    </row>
    <row r="107" spans="1:6" s="1105" customFormat="1" ht="36">
      <c r="A107" s="1154">
        <v>47</v>
      </c>
      <c r="B107" s="3594" t="s">
        <v>1599</v>
      </c>
      <c r="C107" s="1154" t="s">
        <v>1600</v>
      </c>
      <c r="D107" s="1068" t="s">
        <v>1601</v>
      </c>
      <c r="E107" s="1139">
        <v>0.3</v>
      </c>
      <c r="F107" s="1154">
        <v>50</v>
      </c>
    </row>
    <row r="108" spans="1:6" s="1105" customFormat="1" ht="36">
      <c r="A108" s="1154">
        <v>48</v>
      </c>
      <c r="B108" s="3594"/>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594" t="s">
        <v>1610</v>
      </c>
      <c r="C111" s="1154" t="s">
        <v>1611</v>
      </c>
      <c r="D111" s="1068" t="s">
        <v>1612</v>
      </c>
      <c r="E111" s="1139">
        <v>0.2</v>
      </c>
      <c r="F111" s="1154">
        <v>30</v>
      </c>
    </row>
    <row r="112" spans="1:6" s="1105" customFormat="1" ht="24">
      <c r="A112" s="1154">
        <v>52</v>
      </c>
      <c r="B112" s="3594"/>
      <c r="C112" s="1154" t="s">
        <v>1613</v>
      </c>
      <c r="D112" s="1068" t="s">
        <v>1614</v>
      </c>
      <c r="E112" s="1139">
        <v>0.2</v>
      </c>
      <c r="F112" s="1154">
        <v>30</v>
      </c>
    </row>
    <row r="113" spans="1:14" s="1105" customFormat="1" ht="24">
      <c r="A113" s="1154">
        <v>53</v>
      </c>
      <c r="B113" s="3594"/>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594" t="s">
        <v>1623</v>
      </c>
      <c r="C116" s="1154" t="s">
        <v>1624</v>
      </c>
      <c r="D116" s="1068" t="s">
        <v>1625</v>
      </c>
      <c r="E116" s="1139">
        <v>0.2</v>
      </c>
      <c r="F116" s="1154">
        <v>30</v>
      </c>
    </row>
    <row r="117" spans="1:14" ht="36">
      <c r="A117" s="1154">
        <v>57</v>
      </c>
      <c r="B117" s="3594"/>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593" t="s">
        <v>1632</v>
      </c>
      <c r="B121" s="3593"/>
      <c r="C121" s="3593"/>
      <c r="D121" s="3593"/>
      <c r="E121" s="3593"/>
      <c r="F121" s="3593"/>
      <c r="G121" s="3593"/>
      <c r="H121" s="3593"/>
      <c r="I121" s="3593"/>
      <c r="J121" s="359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606" t="s">
        <v>1038</v>
      </c>
      <c r="B1" s="3606"/>
      <c r="C1" s="3606"/>
      <c r="D1" s="3606"/>
      <c r="E1" s="3606"/>
      <c r="F1" s="3606"/>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607" t="s">
        <v>1051</v>
      </c>
      <c r="B2" s="3607"/>
      <c r="C2" s="3607"/>
      <c r="D2" s="3607"/>
      <c r="E2" s="3607"/>
      <c r="F2" s="3607"/>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608"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609"/>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2418</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2419</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8" customWidth="1"/>
    <col min="2" max="2" width="10.25" style="1779" customWidth="1"/>
  </cols>
  <sheetData>
    <row r="1" spans="1:6">
      <c r="A1" s="3610" t="s">
        <v>2077</v>
      </c>
      <c r="B1" s="3610"/>
    </row>
    <row r="2" spans="1:6" ht="14.25" thickBot="1">
      <c r="A2" s="1749"/>
      <c r="B2" s="1749"/>
    </row>
    <row r="3" spans="1:6" ht="14.25" thickBot="1">
      <c r="A3" s="1749"/>
      <c r="B3" s="1749"/>
      <c r="C3" s="1750" t="s">
        <v>2078</v>
      </c>
      <c r="D3" s="1750" t="s">
        <v>2079</v>
      </c>
      <c r="E3" s="1750" t="s">
        <v>2080</v>
      </c>
      <c r="F3" s="1750" t="s">
        <v>2081</v>
      </c>
    </row>
    <row r="4" spans="1:6" ht="14.25" thickBot="1">
      <c r="A4" s="1751" t="s">
        <v>2082</v>
      </c>
      <c r="B4" s="1752" t="s">
        <v>2083</v>
      </c>
      <c r="C4" s="1750"/>
      <c r="D4" s="1750"/>
      <c r="E4" s="1750"/>
      <c r="F4" s="1750"/>
    </row>
    <row r="5" spans="1:6" ht="14.25" thickBot="1">
      <c r="A5" s="1753" t="s">
        <v>2084</v>
      </c>
      <c r="B5" s="1754" t="s">
        <v>2085</v>
      </c>
      <c r="C5" s="1755">
        <v>8.8999999999999996E-2</v>
      </c>
      <c r="D5" s="1755">
        <v>7.3999999999999996E-2</v>
      </c>
      <c r="E5" s="1755">
        <v>7.4999999999999997E-2</v>
      </c>
      <c r="F5" s="1756">
        <v>0.1</v>
      </c>
    </row>
    <row r="6" spans="1:6" ht="14.25" thickBot="1">
      <c r="A6" s="1753" t="s">
        <v>1095</v>
      </c>
      <c r="B6" s="1757" t="s">
        <v>2086</v>
      </c>
      <c r="C6" s="1758">
        <v>0.1</v>
      </c>
      <c r="D6" s="1758">
        <v>9.0999999999999998E-2</v>
      </c>
      <c r="E6" s="1758">
        <v>9.0999999999999998E-2</v>
      </c>
      <c r="F6" s="1759">
        <v>0.1</v>
      </c>
    </row>
    <row r="7" spans="1:6" ht="14.25" thickBot="1">
      <c r="A7" s="1753" t="s">
        <v>1095</v>
      </c>
      <c r="B7" s="1760" t="s">
        <v>1083</v>
      </c>
      <c r="C7" s="1758">
        <v>8.5999999999999993E-2</v>
      </c>
      <c r="D7" s="1758">
        <v>9.6000000000000002E-2</v>
      </c>
      <c r="E7" s="1758">
        <v>7.5999999999999998E-2</v>
      </c>
      <c r="F7" s="1759">
        <v>0.1</v>
      </c>
    </row>
    <row r="8" spans="1:6" ht="14.25" thickBot="1">
      <c r="A8" s="1753" t="s">
        <v>1095</v>
      </c>
      <c r="B8" s="1757" t="s">
        <v>1096</v>
      </c>
      <c r="C8" s="1758">
        <v>9.9000000000000005E-2</v>
      </c>
      <c r="D8" s="1758">
        <v>9.8000000000000004E-2</v>
      </c>
      <c r="E8" s="1758">
        <v>9.8000000000000004E-2</v>
      </c>
      <c r="F8" s="1759">
        <v>0.1</v>
      </c>
    </row>
    <row r="9" spans="1:6" ht="14.25" thickBot="1">
      <c r="A9" s="1761" t="s">
        <v>1095</v>
      </c>
      <c r="B9" s="1762" t="s">
        <v>1110</v>
      </c>
      <c r="C9" s="1763">
        <v>0.05</v>
      </c>
      <c r="D9" s="1764"/>
      <c r="E9" s="1764"/>
      <c r="F9" s="1765"/>
    </row>
    <row r="10" spans="1:6" ht="14.25" thickBot="1">
      <c r="A10" s="1753" t="s">
        <v>1154</v>
      </c>
      <c r="B10" s="1754" t="s">
        <v>2087</v>
      </c>
      <c r="C10" s="1755">
        <v>8.8999999999999996E-2</v>
      </c>
      <c r="D10" s="1755">
        <v>7.2999999999999995E-2</v>
      </c>
      <c r="E10" s="1755">
        <v>8.2000000000000003E-2</v>
      </c>
      <c r="F10" s="1756">
        <v>0.1</v>
      </c>
    </row>
    <row r="11" spans="1:6" ht="14.25" thickBot="1">
      <c r="A11" s="1753" t="s">
        <v>1154</v>
      </c>
      <c r="B11" s="1760" t="s">
        <v>1070</v>
      </c>
      <c r="C11" s="1758">
        <v>8.8999999999999996E-2</v>
      </c>
      <c r="D11" s="1758">
        <v>7.2999999999999995E-2</v>
      </c>
      <c r="E11" s="1758">
        <v>8.2000000000000003E-2</v>
      </c>
      <c r="F11" s="1759">
        <v>0.1</v>
      </c>
    </row>
    <row r="12" spans="1:6" ht="14.25" thickBot="1">
      <c r="A12" s="1753" t="s">
        <v>1154</v>
      </c>
      <c r="B12" s="1760" t="s">
        <v>1084</v>
      </c>
      <c r="C12" s="1758">
        <v>6.0999999999999999E-2</v>
      </c>
      <c r="D12" s="1758">
        <v>7.0999999999999994E-2</v>
      </c>
      <c r="E12" s="1758">
        <v>9.6000000000000002E-2</v>
      </c>
      <c r="F12" s="1759">
        <v>0.1</v>
      </c>
    </row>
    <row r="13" spans="1:6" ht="14.25" thickBot="1">
      <c r="A13" s="1753" t="s">
        <v>1154</v>
      </c>
      <c r="B13" s="1760" t="s">
        <v>1097</v>
      </c>
      <c r="C13" s="1758">
        <v>6.9000000000000006E-2</v>
      </c>
      <c r="D13" s="1758">
        <v>6.5000000000000002E-2</v>
      </c>
      <c r="E13" s="1758">
        <v>6.6000000000000003E-2</v>
      </c>
      <c r="F13" s="1759">
        <v>0.1</v>
      </c>
    </row>
    <row r="14" spans="1:6" ht="14.25" thickBot="1">
      <c r="A14" s="1753" t="s">
        <v>1154</v>
      </c>
      <c r="B14" s="1760" t="s">
        <v>1111</v>
      </c>
      <c r="C14" s="1758">
        <v>0.1</v>
      </c>
      <c r="D14" s="1758">
        <v>6.5000000000000002E-2</v>
      </c>
      <c r="E14" s="1758">
        <v>7.0000000000000007E-2</v>
      </c>
      <c r="F14" s="1759">
        <v>0.1</v>
      </c>
    </row>
    <row r="15" spans="1:6" ht="14.25" thickBot="1">
      <c r="A15" s="1753" t="s">
        <v>1154</v>
      </c>
      <c r="B15" s="1760" t="s">
        <v>1122</v>
      </c>
      <c r="C15" s="1758">
        <v>9.8000000000000004E-2</v>
      </c>
      <c r="D15" s="1758">
        <v>8.8999999999999996E-2</v>
      </c>
      <c r="E15" s="1758">
        <v>8.8999999999999996E-2</v>
      </c>
      <c r="F15" s="1759">
        <v>0.1</v>
      </c>
    </row>
    <row r="16" spans="1:6" ht="14.25" thickBot="1">
      <c r="A16" s="1753" t="s">
        <v>1154</v>
      </c>
      <c r="B16" s="1760" t="s">
        <v>1133</v>
      </c>
      <c r="C16" s="1758">
        <v>7.0000000000000007E-2</v>
      </c>
      <c r="D16" s="1758">
        <v>9.2999999999999999E-2</v>
      </c>
      <c r="E16" s="1758">
        <v>9.6000000000000002E-2</v>
      </c>
      <c r="F16" s="1759">
        <v>0.1</v>
      </c>
    </row>
    <row r="17" spans="1:6" ht="14.25" thickBot="1">
      <c r="A17" s="1753" t="s">
        <v>1154</v>
      </c>
      <c r="B17" s="1760" t="s">
        <v>1144</v>
      </c>
      <c r="C17" s="1758">
        <v>9.5000000000000001E-2</v>
      </c>
      <c r="D17" s="1758">
        <v>0.1</v>
      </c>
      <c r="E17" s="1758">
        <v>0.1</v>
      </c>
      <c r="F17" s="1766"/>
    </row>
    <row r="18" spans="1:6" ht="14.25" thickBot="1">
      <c r="A18" s="1753" t="s">
        <v>1154</v>
      </c>
      <c r="B18" s="1760" t="s">
        <v>1156</v>
      </c>
      <c r="C18" s="1758">
        <v>7.3999999999999996E-2</v>
      </c>
      <c r="D18" s="1758">
        <v>9.9000000000000005E-2</v>
      </c>
      <c r="E18" s="1758">
        <v>0.1</v>
      </c>
      <c r="F18" s="1766"/>
    </row>
    <row r="19" spans="1:6" ht="14.25" thickBot="1">
      <c r="A19" s="1753" t="s">
        <v>1154</v>
      </c>
      <c r="B19" s="1760" t="s">
        <v>1166</v>
      </c>
      <c r="C19" s="1758">
        <v>9.9000000000000005E-2</v>
      </c>
      <c r="D19" s="1758">
        <v>7.5999999999999998E-2</v>
      </c>
      <c r="E19" s="1758">
        <v>8.6999999999999994E-2</v>
      </c>
      <c r="F19" s="1766"/>
    </row>
    <row r="20" spans="1:6" ht="14.25" thickBot="1">
      <c r="A20" s="1753" t="s">
        <v>1154</v>
      </c>
      <c r="B20" s="1760" t="s">
        <v>1176</v>
      </c>
      <c r="C20" s="1758">
        <v>9.8000000000000004E-2</v>
      </c>
      <c r="D20" s="1758">
        <v>8.5000000000000006E-2</v>
      </c>
      <c r="E20" s="1758">
        <v>8.2000000000000003E-2</v>
      </c>
      <c r="F20" s="1766"/>
    </row>
    <row r="21" spans="1:6" ht="14.25" thickBot="1">
      <c r="A21" s="1753" t="s">
        <v>1154</v>
      </c>
      <c r="B21" s="1760" t="s">
        <v>1186</v>
      </c>
      <c r="C21" s="1758">
        <v>6.6000000000000003E-2</v>
      </c>
      <c r="D21" s="1758">
        <v>6.4000000000000001E-2</v>
      </c>
      <c r="E21" s="1758">
        <v>6.5000000000000002E-2</v>
      </c>
      <c r="F21" s="1766"/>
    </row>
    <row r="22" spans="1:6" ht="14.25" thickBot="1">
      <c r="A22" s="1753" t="s">
        <v>1154</v>
      </c>
      <c r="B22" s="1760" t="s">
        <v>2088</v>
      </c>
      <c r="C22" s="1758">
        <v>0.08</v>
      </c>
      <c r="D22" s="1758">
        <v>9.8000000000000004E-2</v>
      </c>
      <c r="E22" s="1758">
        <v>9.8000000000000004E-2</v>
      </c>
      <c r="F22" s="1766"/>
    </row>
    <row r="23" spans="1:6" ht="14.25" thickBot="1">
      <c r="A23" s="1753" t="s">
        <v>1154</v>
      </c>
      <c r="B23" s="1760" t="s">
        <v>1206</v>
      </c>
      <c r="C23" s="1758">
        <v>9.9000000000000005E-2</v>
      </c>
      <c r="D23" s="1758">
        <v>9.8000000000000004E-2</v>
      </c>
      <c r="E23" s="1758">
        <v>9.0999999999999998E-2</v>
      </c>
      <c r="F23" s="1766"/>
    </row>
    <row r="24" spans="1:6" ht="14.25" thickBot="1">
      <c r="A24" s="1753" t="s">
        <v>1154</v>
      </c>
      <c r="B24" s="1760" t="s">
        <v>1216</v>
      </c>
      <c r="C24" s="1758">
        <v>8.8999999999999996E-2</v>
      </c>
      <c r="D24" s="1758">
        <v>9.7000000000000003E-2</v>
      </c>
      <c r="E24" s="1758">
        <v>7.0000000000000007E-2</v>
      </c>
      <c r="F24" s="1766"/>
    </row>
    <row r="25" spans="1:6" ht="14.25" thickBot="1">
      <c r="A25" s="1753" t="s">
        <v>1154</v>
      </c>
      <c r="B25" s="1760" t="s">
        <v>1226</v>
      </c>
      <c r="C25" s="1758">
        <v>8.8999999999999996E-2</v>
      </c>
      <c r="D25" s="1758">
        <v>0.1</v>
      </c>
      <c r="E25" s="1758">
        <v>8.1000000000000003E-2</v>
      </c>
      <c r="F25" s="1766"/>
    </row>
    <row r="26" spans="1:6" ht="14.25" thickBot="1">
      <c r="A26" s="1753" t="s">
        <v>1154</v>
      </c>
      <c r="B26" s="1760" t="s">
        <v>1236</v>
      </c>
      <c r="C26" s="1767"/>
      <c r="D26" s="1758">
        <v>9.6000000000000002E-2</v>
      </c>
      <c r="E26" s="1758">
        <v>9.2999999999999999E-2</v>
      </c>
      <c r="F26" s="1766"/>
    </row>
    <row r="27" spans="1:6" ht="14.25" thickBot="1">
      <c r="A27" s="1753" t="s">
        <v>1154</v>
      </c>
      <c r="B27" s="1760" t="s">
        <v>1246</v>
      </c>
      <c r="C27" s="1767"/>
      <c r="D27" s="1758">
        <v>7.5999999999999998E-2</v>
      </c>
      <c r="E27" s="1758">
        <v>9.1999999999999998E-2</v>
      </c>
      <c r="F27" s="1766"/>
    </row>
    <row r="28" spans="1:6" ht="14.25" thickBot="1">
      <c r="A28" s="1761" t="s">
        <v>1154</v>
      </c>
      <c r="B28" s="1762" t="s">
        <v>1256</v>
      </c>
      <c r="C28" s="1764"/>
      <c r="D28" s="1763">
        <v>7.5999999999999998E-2</v>
      </c>
      <c r="E28" s="1763">
        <v>9.1999999999999998E-2</v>
      </c>
      <c r="F28" s="1765"/>
    </row>
    <row r="29" spans="1:6" ht="14.25" thickBot="1">
      <c r="A29" s="1753" t="s">
        <v>1325</v>
      </c>
      <c r="B29" s="1754" t="s">
        <v>2089</v>
      </c>
      <c r="C29" s="1755">
        <v>6.4000000000000001E-2</v>
      </c>
      <c r="D29" s="1755">
        <v>6.5000000000000002E-2</v>
      </c>
      <c r="E29" s="1755">
        <v>6.9000000000000006E-2</v>
      </c>
      <c r="F29" s="1756">
        <v>0.1</v>
      </c>
    </row>
    <row r="30" spans="1:6" ht="14.25" thickBot="1">
      <c r="A30" s="1753" t="s">
        <v>1325</v>
      </c>
      <c r="B30" s="1760" t="s">
        <v>1071</v>
      </c>
      <c r="C30" s="1758">
        <v>6.4000000000000001E-2</v>
      </c>
      <c r="D30" s="1758">
        <v>9.9000000000000005E-2</v>
      </c>
      <c r="E30" s="1758">
        <v>0.1</v>
      </c>
      <c r="F30" s="1759">
        <v>0.1</v>
      </c>
    </row>
    <row r="31" spans="1:6" ht="14.25" thickBot="1">
      <c r="A31" s="1753" t="s">
        <v>1325</v>
      </c>
      <c r="B31" s="1760" t="s">
        <v>1085</v>
      </c>
      <c r="C31" s="1758">
        <v>0.1</v>
      </c>
      <c r="D31" s="1758">
        <v>9.5000000000000001E-2</v>
      </c>
      <c r="E31" s="1758">
        <v>8.8999999999999996E-2</v>
      </c>
      <c r="F31" s="1759">
        <v>0.1</v>
      </c>
    </row>
    <row r="32" spans="1:6" ht="14.25" thickBot="1">
      <c r="A32" s="1753" t="s">
        <v>1325</v>
      </c>
      <c r="B32" s="1760" t="s">
        <v>1098</v>
      </c>
      <c r="C32" s="1758">
        <v>0.05</v>
      </c>
      <c r="D32" s="1758">
        <v>0.05</v>
      </c>
      <c r="E32" s="1758">
        <v>8.7999999999999995E-2</v>
      </c>
      <c r="F32" s="1759">
        <v>0.1</v>
      </c>
    </row>
    <row r="33" spans="1:6" ht="14.25" thickBot="1">
      <c r="A33" s="1753" t="s">
        <v>1325</v>
      </c>
      <c r="B33" s="1760" t="s">
        <v>1112</v>
      </c>
      <c r="C33" s="1758">
        <v>7.4999999999999997E-2</v>
      </c>
      <c r="D33" s="1758">
        <v>9.4E-2</v>
      </c>
      <c r="E33" s="1758">
        <v>9.7000000000000003E-2</v>
      </c>
      <c r="F33" s="1759">
        <v>0.1</v>
      </c>
    </row>
    <row r="34" spans="1:6" ht="14.25" thickBot="1">
      <c r="A34" s="1753" t="s">
        <v>1325</v>
      </c>
      <c r="B34" s="1760" t="s">
        <v>1123</v>
      </c>
      <c r="C34" s="1758">
        <v>9.8000000000000004E-2</v>
      </c>
      <c r="D34" s="1758">
        <v>8.5999999999999993E-2</v>
      </c>
      <c r="E34" s="1758">
        <v>9.7000000000000003E-2</v>
      </c>
      <c r="F34" s="1759">
        <v>0.1</v>
      </c>
    </row>
    <row r="35" spans="1:6" ht="14.25" thickBot="1">
      <c r="A35" s="1753" t="s">
        <v>1325</v>
      </c>
      <c r="B35" s="1760" t="s">
        <v>1134</v>
      </c>
      <c r="C35" s="1758">
        <v>5.8999999999999997E-2</v>
      </c>
      <c r="D35" s="1758">
        <v>6.5000000000000002E-2</v>
      </c>
      <c r="E35" s="1758">
        <v>7.0000000000000007E-2</v>
      </c>
      <c r="F35" s="1759">
        <v>0.1</v>
      </c>
    </row>
    <row r="36" spans="1:6" ht="14.25" thickBot="1">
      <c r="A36" s="1753" t="s">
        <v>1325</v>
      </c>
      <c r="B36" s="1760" t="s">
        <v>1145</v>
      </c>
      <c r="C36" s="1758">
        <v>6.3E-2</v>
      </c>
      <c r="D36" s="1758">
        <v>0.1</v>
      </c>
      <c r="E36" s="1758">
        <v>0.1</v>
      </c>
      <c r="F36" s="1759">
        <v>0.1</v>
      </c>
    </row>
    <row r="37" spans="1:6" ht="14.25" thickBot="1">
      <c r="A37" s="1753" t="s">
        <v>1325</v>
      </c>
      <c r="B37" s="1760" t="s">
        <v>1157</v>
      </c>
      <c r="C37" s="1758">
        <v>7.3999999999999996E-2</v>
      </c>
      <c r="D37" s="1758">
        <v>0.1</v>
      </c>
      <c r="E37" s="1758">
        <v>0.1</v>
      </c>
      <c r="F37" s="1759">
        <v>0.1</v>
      </c>
    </row>
    <row r="38" spans="1:6" ht="14.25" thickBot="1">
      <c r="A38" s="1753" t="s">
        <v>1325</v>
      </c>
      <c r="B38" s="1760" t="s">
        <v>1167</v>
      </c>
      <c r="C38" s="1758">
        <v>0.1</v>
      </c>
      <c r="D38" s="1758">
        <v>9.6000000000000002E-2</v>
      </c>
      <c r="E38" s="1758">
        <v>9.6000000000000002E-2</v>
      </c>
      <c r="F38" s="1766"/>
    </row>
    <row r="39" spans="1:6" ht="14.25" thickBot="1">
      <c r="A39" s="1753" t="s">
        <v>1325</v>
      </c>
      <c r="B39" s="1760" t="s">
        <v>1177</v>
      </c>
      <c r="C39" s="1758">
        <v>0.1</v>
      </c>
      <c r="D39" s="1758">
        <v>9.6000000000000002E-2</v>
      </c>
      <c r="E39" s="1758">
        <v>9.6000000000000002E-2</v>
      </c>
      <c r="F39" s="1766"/>
    </row>
    <row r="40" spans="1:6" ht="14.25" thickBot="1">
      <c r="A40" s="1753" t="s">
        <v>1325</v>
      </c>
      <c r="B40" s="1760" t="s">
        <v>1187</v>
      </c>
      <c r="C40" s="1758">
        <v>9.6000000000000002E-2</v>
      </c>
      <c r="D40" s="1758">
        <v>0.1</v>
      </c>
      <c r="E40" s="1758">
        <v>9.9000000000000005E-2</v>
      </c>
      <c r="F40" s="1766"/>
    </row>
    <row r="41" spans="1:6" ht="14.25" thickBot="1">
      <c r="A41" s="1753" t="s">
        <v>1325</v>
      </c>
      <c r="B41" s="1760" t="s">
        <v>1197</v>
      </c>
      <c r="C41" s="1758">
        <v>9.6000000000000002E-2</v>
      </c>
      <c r="D41" s="1758">
        <v>9.8000000000000004E-2</v>
      </c>
      <c r="E41" s="1758">
        <v>9.8000000000000004E-2</v>
      </c>
      <c r="F41" s="1766"/>
    </row>
    <row r="42" spans="1:6" ht="14.25" thickBot="1">
      <c r="A42" s="1753" t="s">
        <v>1325</v>
      </c>
      <c r="B42" s="1760" t="s">
        <v>1207</v>
      </c>
      <c r="C42" s="1758">
        <v>0.1</v>
      </c>
      <c r="D42" s="1758">
        <v>8.7999999999999995E-2</v>
      </c>
      <c r="E42" s="1758">
        <v>0.1</v>
      </c>
      <c r="F42" s="1766"/>
    </row>
    <row r="43" spans="1:6" ht="14.25" thickBot="1">
      <c r="A43" s="1753" t="s">
        <v>1325</v>
      </c>
      <c r="B43" s="1760" t="s">
        <v>1217</v>
      </c>
      <c r="C43" s="1758">
        <v>9.8000000000000004E-2</v>
      </c>
      <c r="D43" s="1758">
        <v>9.7000000000000003E-2</v>
      </c>
      <c r="E43" s="1758">
        <v>9.6000000000000002E-2</v>
      </c>
      <c r="F43" s="1766"/>
    </row>
    <row r="44" spans="1:6" ht="14.25" thickBot="1">
      <c r="A44" s="1753" t="s">
        <v>1325</v>
      </c>
      <c r="B44" s="1760" t="s">
        <v>1227</v>
      </c>
      <c r="C44" s="1758">
        <v>8.5999999999999993E-2</v>
      </c>
      <c r="D44" s="1758">
        <v>7.9000000000000001E-2</v>
      </c>
      <c r="E44" s="1758">
        <v>7.0999999999999994E-2</v>
      </c>
      <c r="F44" s="1766"/>
    </row>
    <row r="45" spans="1:6" ht="14.25" thickBot="1">
      <c r="A45" s="1753" t="s">
        <v>1325</v>
      </c>
      <c r="B45" s="1760" t="s">
        <v>1237</v>
      </c>
      <c r="C45" s="1758">
        <v>9.8000000000000004E-2</v>
      </c>
      <c r="D45" s="1758">
        <v>9.6000000000000002E-2</v>
      </c>
      <c r="E45" s="1758">
        <v>9.6000000000000002E-2</v>
      </c>
      <c r="F45" s="1766"/>
    </row>
    <row r="46" spans="1:6" ht="14.25" thickBot="1">
      <c r="A46" s="1753" t="s">
        <v>1325</v>
      </c>
      <c r="B46" s="1760" t="s">
        <v>1247</v>
      </c>
      <c r="C46" s="1758">
        <v>8.5999999999999993E-2</v>
      </c>
      <c r="D46" s="1758">
        <v>9.8000000000000004E-2</v>
      </c>
      <c r="E46" s="1758">
        <v>8.7999999999999995E-2</v>
      </c>
      <c r="F46" s="1766"/>
    </row>
    <row r="47" spans="1:6" ht="14.25" thickBot="1">
      <c r="A47" s="1753" t="s">
        <v>1325</v>
      </c>
      <c r="B47" s="1760" t="s">
        <v>1257</v>
      </c>
      <c r="C47" s="1758">
        <v>9.6000000000000002E-2</v>
      </c>
      <c r="D47" s="1767"/>
      <c r="E47" s="1758">
        <v>6.9000000000000006E-2</v>
      </c>
      <c r="F47" s="1766"/>
    </row>
    <row r="48" spans="1:6" ht="14.25" thickBot="1">
      <c r="A48" s="1761" t="s">
        <v>1325</v>
      </c>
      <c r="B48" s="1762" t="s">
        <v>1266</v>
      </c>
      <c r="C48" s="1763">
        <v>9.8000000000000004E-2</v>
      </c>
      <c r="D48" s="1764"/>
      <c r="E48" s="1763">
        <v>9.5000000000000001E-2</v>
      </c>
      <c r="F48" s="1765"/>
    </row>
    <row r="49" spans="1:6" ht="14.25" thickBot="1">
      <c r="A49" s="1753" t="s">
        <v>923</v>
      </c>
      <c r="B49" s="1754" t="s">
        <v>2090</v>
      </c>
      <c r="C49" s="1755">
        <v>9.7000000000000003E-2</v>
      </c>
      <c r="D49" s="1755">
        <v>9.5000000000000001E-2</v>
      </c>
      <c r="E49" s="1755">
        <v>9.7000000000000003E-2</v>
      </c>
      <c r="F49" s="1756">
        <v>0.1</v>
      </c>
    </row>
    <row r="50" spans="1:6" ht="14.25" thickBot="1">
      <c r="A50" s="1753" t="s">
        <v>923</v>
      </c>
      <c r="B50" s="1757" t="s">
        <v>1072</v>
      </c>
      <c r="C50" s="1758">
        <v>7.4999999999999997E-2</v>
      </c>
      <c r="D50" s="1758">
        <v>9.5000000000000001E-2</v>
      </c>
      <c r="E50" s="1758">
        <v>0.1</v>
      </c>
      <c r="F50" s="1759">
        <v>0.1</v>
      </c>
    </row>
    <row r="51" spans="1:6" ht="14.25" thickBot="1">
      <c r="A51" s="1753" t="s">
        <v>923</v>
      </c>
      <c r="B51" s="1757" t="s">
        <v>1086</v>
      </c>
      <c r="C51" s="1758">
        <v>9.8000000000000004E-2</v>
      </c>
      <c r="D51" s="1758">
        <v>8.8999999999999996E-2</v>
      </c>
      <c r="E51" s="1758">
        <v>0.1</v>
      </c>
      <c r="F51" s="1759">
        <v>0.1</v>
      </c>
    </row>
    <row r="52" spans="1:6" ht="14.25" thickBot="1">
      <c r="A52" s="1753" t="s">
        <v>923</v>
      </c>
      <c r="B52" s="1757" t="s">
        <v>1099</v>
      </c>
      <c r="C52" s="1758">
        <v>9.8000000000000004E-2</v>
      </c>
      <c r="D52" s="1758">
        <v>9.7000000000000003E-2</v>
      </c>
      <c r="E52" s="1758">
        <v>8.1000000000000003E-2</v>
      </c>
      <c r="F52" s="1759">
        <v>0.1</v>
      </c>
    </row>
    <row r="53" spans="1:6" ht="14.25" thickBot="1">
      <c r="A53" s="1753" t="s">
        <v>923</v>
      </c>
      <c r="B53" s="1757" t="s">
        <v>1113</v>
      </c>
      <c r="C53" s="1758">
        <v>9.7000000000000003E-2</v>
      </c>
      <c r="D53" s="1758">
        <v>7.5999999999999998E-2</v>
      </c>
      <c r="E53" s="1758">
        <v>7.0999999999999994E-2</v>
      </c>
      <c r="F53" s="1759">
        <v>0.1</v>
      </c>
    </row>
    <row r="54" spans="1:6" ht="14.25" thickBot="1">
      <c r="A54" s="1753" t="s">
        <v>923</v>
      </c>
      <c r="B54" s="1757" t="s">
        <v>1124</v>
      </c>
      <c r="C54" s="1758">
        <v>7.5999999999999998E-2</v>
      </c>
      <c r="D54" s="1758">
        <v>0.1</v>
      </c>
      <c r="E54" s="1758">
        <v>9.9000000000000005E-2</v>
      </c>
      <c r="F54" s="1759">
        <v>0.1</v>
      </c>
    </row>
    <row r="55" spans="1:6" ht="14.25" thickBot="1">
      <c r="A55" s="1753" t="s">
        <v>923</v>
      </c>
      <c r="B55" s="1757" t="s">
        <v>1135</v>
      </c>
      <c r="C55" s="1758">
        <v>0.1</v>
      </c>
      <c r="D55" s="1758">
        <v>0.1</v>
      </c>
      <c r="E55" s="1758">
        <v>9.6000000000000002E-2</v>
      </c>
      <c r="F55" s="1759">
        <v>0.1</v>
      </c>
    </row>
    <row r="56" spans="1:6" ht="14.25" thickBot="1">
      <c r="A56" s="1753" t="s">
        <v>923</v>
      </c>
      <c r="B56" s="1757" t="s">
        <v>1146</v>
      </c>
      <c r="C56" s="1758">
        <v>0.1</v>
      </c>
      <c r="D56" s="1758">
        <v>9.6000000000000002E-2</v>
      </c>
      <c r="E56" s="1758">
        <v>5.1999999999999998E-2</v>
      </c>
      <c r="F56" s="1759">
        <v>0.1</v>
      </c>
    </row>
    <row r="57" spans="1:6" ht="14.25" thickBot="1">
      <c r="A57" s="1753" t="s">
        <v>923</v>
      </c>
      <c r="B57" s="1757" t="s">
        <v>1158</v>
      </c>
      <c r="C57" s="1758">
        <v>9.7000000000000003E-2</v>
      </c>
      <c r="D57" s="1758">
        <v>9.6000000000000002E-2</v>
      </c>
      <c r="E57" s="1758">
        <v>9.6000000000000002E-2</v>
      </c>
      <c r="F57" s="1759">
        <v>0.1</v>
      </c>
    </row>
    <row r="58" spans="1:6" ht="14.25" thickBot="1">
      <c r="A58" s="1753" t="s">
        <v>923</v>
      </c>
      <c r="B58" s="1757" t="s">
        <v>1168</v>
      </c>
      <c r="C58" s="1758">
        <v>9.6000000000000002E-2</v>
      </c>
      <c r="D58" s="1758">
        <v>9.9000000000000005E-2</v>
      </c>
      <c r="E58" s="1758">
        <v>9.6000000000000002E-2</v>
      </c>
      <c r="F58" s="1759">
        <v>0.1</v>
      </c>
    </row>
    <row r="59" spans="1:6" ht="14.25" thickBot="1">
      <c r="A59" s="1753" t="s">
        <v>923</v>
      </c>
      <c r="B59" s="1757" t="s">
        <v>1178</v>
      </c>
      <c r="C59" s="1758">
        <v>7.1999999999999995E-2</v>
      </c>
      <c r="D59" s="1758">
        <v>9.6000000000000002E-2</v>
      </c>
      <c r="E59" s="1758">
        <v>7.0999999999999994E-2</v>
      </c>
      <c r="F59" s="1759">
        <v>0.1</v>
      </c>
    </row>
    <row r="60" spans="1:6" ht="14.25" thickBot="1">
      <c r="A60" s="1753" t="s">
        <v>923</v>
      </c>
      <c r="B60" s="1757" t="s">
        <v>1188</v>
      </c>
      <c r="C60" s="1758">
        <v>9.6000000000000002E-2</v>
      </c>
      <c r="D60" s="1758">
        <v>8.8999999999999996E-2</v>
      </c>
      <c r="E60" s="1758">
        <v>9.6000000000000002E-2</v>
      </c>
      <c r="F60" s="1759">
        <v>0.1</v>
      </c>
    </row>
    <row r="61" spans="1:6" ht="14.25" thickBot="1">
      <c r="A61" s="1753" t="s">
        <v>923</v>
      </c>
      <c r="B61" s="1757" t="s">
        <v>1198</v>
      </c>
      <c r="C61" s="1758">
        <v>8.8999999999999996E-2</v>
      </c>
      <c r="D61" s="1758">
        <v>9.8000000000000004E-2</v>
      </c>
      <c r="E61" s="1758">
        <v>8.7999999999999995E-2</v>
      </c>
      <c r="F61" s="1766"/>
    </row>
    <row r="62" spans="1:6" ht="14.25" thickBot="1">
      <c r="A62" s="1753" t="s">
        <v>923</v>
      </c>
      <c r="B62" s="1757" t="s">
        <v>1208</v>
      </c>
      <c r="C62" s="1758">
        <v>9.8000000000000004E-2</v>
      </c>
      <c r="D62" s="1758">
        <v>9.2999999999999999E-2</v>
      </c>
      <c r="E62" s="1758">
        <v>9.7000000000000003E-2</v>
      </c>
      <c r="F62" s="1766"/>
    </row>
    <row r="63" spans="1:6" ht="14.25" thickBot="1">
      <c r="A63" s="1753" t="s">
        <v>923</v>
      </c>
      <c r="B63" s="1757" t="s">
        <v>1218</v>
      </c>
      <c r="C63" s="1758">
        <v>9.6000000000000002E-2</v>
      </c>
      <c r="D63" s="1758">
        <v>9.8000000000000004E-2</v>
      </c>
      <c r="E63" s="1758">
        <v>0.09</v>
      </c>
      <c r="F63" s="1766"/>
    </row>
    <row r="64" spans="1:6" ht="14.25" thickBot="1">
      <c r="A64" s="1753" t="s">
        <v>923</v>
      </c>
      <c r="B64" s="1757" t="s">
        <v>1228</v>
      </c>
      <c r="C64" s="1758">
        <v>9.9000000000000005E-2</v>
      </c>
      <c r="D64" s="1758">
        <v>9.7000000000000003E-2</v>
      </c>
      <c r="E64" s="1758">
        <v>9.9000000000000005E-2</v>
      </c>
      <c r="F64" s="1766"/>
    </row>
    <row r="65" spans="1:6" ht="14.25" thickBot="1">
      <c r="A65" s="1753" t="s">
        <v>923</v>
      </c>
      <c r="B65" s="1757" t="s">
        <v>1238</v>
      </c>
      <c r="C65" s="1758">
        <v>9.8000000000000004E-2</v>
      </c>
      <c r="D65" s="1758">
        <v>9.6000000000000002E-2</v>
      </c>
      <c r="E65" s="1758">
        <v>9.6000000000000002E-2</v>
      </c>
      <c r="F65" s="1766"/>
    </row>
    <row r="66" spans="1:6" ht="14.25" thickBot="1">
      <c r="A66" s="1753" t="s">
        <v>923</v>
      </c>
      <c r="B66" s="1757" t="s">
        <v>1248</v>
      </c>
      <c r="C66" s="1758">
        <v>9.6000000000000002E-2</v>
      </c>
      <c r="D66" s="1758">
        <v>9.1999999999999998E-2</v>
      </c>
      <c r="E66" s="1758">
        <v>9.6000000000000002E-2</v>
      </c>
      <c r="F66" s="1766"/>
    </row>
    <row r="67" spans="1:6" ht="14.25" thickBot="1">
      <c r="A67" s="1753" t="s">
        <v>923</v>
      </c>
      <c r="B67" s="1757" t="s">
        <v>1258</v>
      </c>
      <c r="C67" s="1758">
        <v>9.4E-2</v>
      </c>
      <c r="D67" s="1758">
        <v>0.1</v>
      </c>
      <c r="E67" s="1758">
        <v>8.7999999999999995E-2</v>
      </c>
      <c r="F67" s="1766"/>
    </row>
    <row r="68" spans="1:6" ht="14.25" thickBot="1">
      <c r="A68" s="1753" t="s">
        <v>923</v>
      </c>
      <c r="B68" s="1757" t="s">
        <v>1267</v>
      </c>
      <c r="C68" s="1758">
        <v>0.1</v>
      </c>
      <c r="D68" s="1758">
        <v>8.7999999999999995E-2</v>
      </c>
      <c r="E68" s="1758">
        <v>9.7000000000000003E-2</v>
      </c>
      <c r="F68" s="1766"/>
    </row>
    <row r="69" spans="1:6" ht="14.25" thickBot="1">
      <c r="A69" s="1753" t="s">
        <v>923</v>
      </c>
      <c r="B69" s="1757" t="s">
        <v>1276</v>
      </c>
      <c r="C69" s="1758">
        <v>6.4000000000000001E-2</v>
      </c>
      <c r="D69" s="1758">
        <v>0.1</v>
      </c>
      <c r="E69" s="1758">
        <v>0.1</v>
      </c>
      <c r="F69" s="1766"/>
    </row>
    <row r="70" spans="1:6" ht="14.25" thickBot="1">
      <c r="A70" s="1753" t="s">
        <v>923</v>
      </c>
      <c r="B70" s="1757" t="s">
        <v>1284</v>
      </c>
      <c r="C70" s="1758">
        <v>9.0999999999999998E-2</v>
      </c>
      <c r="D70" s="1767"/>
      <c r="E70" s="1767"/>
      <c r="F70" s="1766"/>
    </row>
    <row r="71" spans="1:6" ht="14.25" thickBot="1">
      <c r="A71" s="1753" t="s">
        <v>923</v>
      </c>
      <c r="B71" s="1757" t="s">
        <v>1291</v>
      </c>
      <c r="C71" s="1758">
        <v>0.1</v>
      </c>
      <c r="D71" s="1767"/>
      <c r="E71" s="1767"/>
      <c r="F71" s="1766"/>
    </row>
    <row r="72" spans="1:6" ht="14.25" thickBot="1">
      <c r="A72" s="1753" t="s">
        <v>923</v>
      </c>
      <c r="B72" s="1757" t="s">
        <v>2091</v>
      </c>
      <c r="C72" s="1767"/>
      <c r="D72" s="1767"/>
      <c r="E72" s="1767"/>
      <c r="F72" s="1759">
        <v>0.05</v>
      </c>
    </row>
    <row r="73" spans="1:6" ht="14.25" thickBot="1">
      <c r="A73" s="1753" t="s">
        <v>923</v>
      </c>
      <c r="B73" s="1757" t="s">
        <v>2092</v>
      </c>
      <c r="C73" s="1767"/>
      <c r="D73" s="1767"/>
      <c r="E73" s="1767"/>
      <c r="F73" s="1759">
        <v>0.05</v>
      </c>
    </row>
    <row r="74" spans="1:6" ht="14.25" thickBot="1">
      <c r="A74" s="1753" t="s">
        <v>923</v>
      </c>
      <c r="B74" s="1757" t="s">
        <v>2093</v>
      </c>
      <c r="C74" s="1767"/>
      <c r="D74" s="1767"/>
      <c r="E74" s="1767"/>
      <c r="F74" s="1759">
        <v>0.05</v>
      </c>
    </row>
    <row r="75" spans="1:6" ht="14.25" thickBot="1">
      <c r="A75" s="1761" t="s">
        <v>923</v>
      </c>
      <c r="B75" s="1768" t="s">
        <v>2094</v>
      </c>
      <c r="C75" s="1764"/>
      <c r="D75" s="1764"/>
      <c r="E75" s="1764"/>
      <c r="F75" s="1769">
        <v>0.05</v>
      </c>
    </row>
    <row r="76" spans="1:6" ht="14.25" thickBot="1">
      <c r="A76" s="1753" t="s">
        <v>1406</v>
      </c>
      <c r="B76" s="1754" t="s">
        <v>2095</v>
      </c>
      <c r="C76" s="1755">
        <v>0.1</v>
      </c>
      <c r="D76" s="1755">
        <v>0.1</v>
      </c>
      <c r="E76" s="1755">
        <v>0.1</v>
      </c>
      <c r="F76" s="1756">
        <v>0.1</v>
      </c>
    </row>
    <row r="77" spans="1:6" ht="14.25" thickBot="1">
      <c r="A77" s="1753" t="s">
        <v>1406</v>
      </c>
      <c r="B77" s="1757" t="s">
        <v>1073</v>
      </c>
      <c r="C77" s="1758">
        <v>8.7999999999999995E-2</v>
      </c>
      <c r="D77" s="1758">
        <v>8.6999999999999994E-2</v>
      </c>
      <c r="E77" s="1758">
        <v>7.9000000000000001E-2</v>
      </c>
      <c r="F77" s="1759">
        <v>0.1</v>
      </c>
    </row>
    <row r="78" spans="1:6" ht="14.25" thickBot="1">
      <c r="A78" s="1753" t="s">
        <v>1406</v>
      </c>
      <c r="B78" s="1757" t="s">
        <v>1087</v>
      </c>
      <c r="C78" s="1758">
        <v>8.6999999999999994E-2</v>
      </c>
      <c r="D78" s="1758">
        <v>8.4000000000000005E-2</v>
      </c>
      <c r="E78" s="1758">
        <v>9.6000000000000002E-2</v>
      </c>
      <c r="F78" s="1759">
        <v>0.1</v>
      </c>
    </row>
    <row r="79" spans="1:6" ht="14.25" thickBot="1">
      <c r="A79" s="1753" t="s">
        <v>1406</v>
      </c>
      <c r="B79" s="1757" t="s">
        <v>1100</v>
      </c>
      <c r="C79" s="1758">
        <v>9.8000000000000004E-2</v>
      </c>
      <c r="D79" s="1758">
        <v>9.8000000000000004E-2</v>
      </c>
      <c r="E79" s="1758">
        <v>9.0999999999999998E-2</v>
      </c>
      <c r="F79" s="1759">
        <v>0.1</v>
      </c>
    </row>
    <row r="80" spans="1:6" ht="14.25" thickBot="1">
      <c r="A80" s="1753" t="s">
        <v>1406</v>
      </c>
      <c r="B80" s="1757" t="s">
        <v>1114</v>
      </c>
      <c r="C80" s="1758">
        <v>9.6000000000000002E-2</v>
      </c>
      <c r="D80" s="1758">
        <v>9.6000000000000002E-2</v>
      </c>
      <c r="E80" s="1758">
        <v>0.1</v>
      </c>
      <c r="F80" s="1759">
        <v>0.1</v>
      </c>
    </row>
    <row r="81" spans="1:6" ht="14.25" thickBot="1">
      <c r="A81" s="1753" t="s">
        <v>1406</v>
      </c>
      <c r="B81" s="1757" t="s">
        <v>1125</v>
      </c>
      <c r="C81" s="1758">
        <v>9.9000000000000005E-2</v>
      </c>
      <c r="D81" s="1758">
        <v>9.9000000000000005E-2</v>
      </c>
      <c r="E81" s="1758">
        <v>9.8000000000000004E-2</v>
      </c>
      <c r="F81" s="1759">
        <v>0.1</v>
      </c>
    </row>
    <row r="82" spans="1:6" ht="14.25" thickBot="1">
      <c r="A82" s="1753" t="s">
        <v>1406</v>
      </c>
      <c r="B82" s="1757" t="s">
        <v>1136</v>
      </c>
      <c r="C82" s="1758">
        <v>9.9000000000000005E-2</v>
      </c>
      <c r="D82" s="1758">
        <v>9.9000000000000005E-2</v>
      </c>
      <c r="E82" s="1758">
        <v>9.7000000000000003E-2</v>
      </c>
      <c r="F82" s="1759">
        <v>0.1</v>
      </c>
    </row>
    <row r="83" spans="1:6" ht="14.25" thickBot="1">
      <c r="A83" s="1753" t="s">
        <v>1406</v>
      </c>
      <c r="B83" s="1757" t="s">
        <v>1147</v>
      </c>
      <c r="C83" s="1758">
        <v>9.8000000000000004E-2</v>
      </c>
      <c r="D83" s="1758">
        <v>9.8000000000000004E-2</v>
      </c>
      <c r="E83" s="1758">
        <v>9.8000000000000004E-2</v>
      </c>
      <c r="F83" s="1759">
        <v>0.1</v>
      </c>
    </row>
    <row r="84" spans="1:6" ht="14.25" thickBot="1">
      <c r="A84" s="1753" t="s">
        <v>1406</v>
      </c>
      <c r="B84" s="1757" t="s">
        <v>1159</v>
      </c>
      <c r="C84" s="1758">
        <v>9.9000000000000005E-2</v>
      </c>
      <c r="D84" s="1758">
        <v>9.9000000000000005E-2</v>
      </c>
      <c r="E84" s="1758">
        <v>9.9000000000000005E-2</v>
      </c>
      <c r="F84" s="1759">
        <v>0.1</v>
      </c>
    </row>
    <row r="85" spans="1:6" ht="14.25" thickBot="1">
      <c r="A85" s="1753" t="s">
        <v>1406</v>
      </c>
      <c r="B85" s="1757" t="s">
        <v>1169</v>
      </c>
      <c r="C85" s="1758">
        <v>9.9000000000000005E-2</v>
      </c>
      <c r="D85" s="1758">
        <v>9.9000000000000005E-2</v>
      </c>
      <c r="E85" s="1758">
        <v>9.9000000000000005E-2</v>
      </c>
      <c r="F85" s="1759">
        <v>0.1</v>
      </c>
    </row>
    <row r="86" spans="1:6" ht="14.25" thickBot="1">
      <c r="A86" s="1753" t="s">
        <v>1406</v>
      </c>
      <c r="B86" s="1757" t="s">
        <v>1179</v>
      </c>
      <c r="C86" s="1758">
        <v>0.1</v>
      </c>
      <c r="D86" s="1758">
        <v>0.1</v>
      </c>
      <c r="E86" s="1758">
        <v>7.6999999999999999E-2</v>
      </c>
      <c r="F86" s="1759">
        <v>0.1</v>
      </c>
    </row>
    <row r="87" spans="1:6" ht="14.25" thickBot="1">
      <c r="A87" s="1753" t="s">
        <v>1406</v>
      </c>
      <c r="B87" s="1757" t="s">
        <v>1189</v>
      </c>
      <c r="C87" s="1758">
        <v>0.1</v>
      </c>
      <c r="D87" s="1758">
        <v>0.1</v>
      </c>
      <c r="E87" s="1758">
        <v>9.8000000000000004E-2</v>
      </c>
      <c r="F87" s="1766"/>
    </row>
    <row r="88" spans="1:6" ht="14.25" thickBot="1">
      <c r="A88" s="1753" t="s">
        <v>1406</v>
      </c>
      <c r="B88" s="1757" t="s">
        <v>1199</v>
      </c>
      <c r="C88" s="1758">
        <v>9.1999999999999998E-2</v>
      </c>
      <c r="D88" s="1758">
        <v>8.5000000000000006E-2</v>
      </c>
      <c r="E88" s="1758">
        <v>9.6000000000000002E-2</v>
      </c>
      <c r="F88" s="1766"/>
    </row>
    <row r="89" spans="1:6" ht="14.25" thickBot="1">
      <c r="A89" s="1753" t="s">
        <v>1406</v>
      </c>
      <c r="B89" s="1757" t="s">
        <v>1209</v>
      </c>
      <c r="C89" s="1758">
        <v>0.1</v>
      </c>
      <c r="D89" s="1758">
        <v>0.1</v>
      </c>
      <c r="E89" s="1758">
        <v>9.7000000000000003E-2</v>
      </c>
      <c r="F89" s="1766"/>
    </row>
    <row r="90" spans="1:6" ht="14.25" thickBot="1">
      <c r="A90" s="1753" t="s">
        <v>1406</v>
      </c>
      <c r="B90" s="1757" t="s">
        <v>1219</v>
      </c>
      <c r="C90" s="1758">
        <v>9.8000000000000004E-2</v>
      </c>
      <c r="D90" s="1758">
        <v>9.8000000000000004E-2</v>
      </c>
      <c r="E90" s="1758">
        <v>8.7999999999999995E-2</v>
      </c>
      <c r="F90" s="1766"/>
    </row>
    <row r="91" spans="1:6" ht="14.25" thickBot="1">
      <c r="A91" s="1753" t="s">
        <v>1406</v>
      </c>
      <c r="B91" s="1757" t="s">
        <v>1229</v>
      </c>
      <c r="C91" s="1758">
        <v>9.9000000000000005E-2</v>
      </c>
      <c r="D91" s="1758">
        <v>9.9000000000000005E-2</v>
      </c>
      <c r="E91" s="1758">
        <v>9.0999999999999998E-2</v>
      </c>
      <c r="F91" s="1766"/>
    </row>
    <row r="92" spans="1:6" ht="14.25" thickBot="1">
      <c r="A92" s="1753" t="s">
        <v>1406</v>
      </c>
      <c r="B92" s="1757" t="s">
        <v>1239</v>
      </c>
      <c r="C92" s="1758">
        <v>9.6000000000000002E-2</v>
      </c>
      <c r="D92" s="1758">
        <v>9.6000000000000002E-2</v>
      </c>
      <c r="E92" s="1758">
        <v>7.2999999999999995E-2</v>
      </c>
      <c r="F92" s="1766"/>
    </row>
    <row r="93" spans="1:6" ht="14.25" thickBot="1">
      <c r="A93" s="1753" t="s">
        <v>1406</v>
      </c>
      <c r="B93" s="1757" t="s">
        <v>1249</v>
      </c>
      <c r="C93" s="1758">
        <v>9.6000000000000002E-2</v>
      </c>
      <c r="D93" s="1758">
        <v>9.6000000000000002E-2</v>
      </c>
      <c r="E93" s="1758">
        <v>9.9000000000000005E-2</v>
      </c>
      <c r="F93" s="1766"/>
    </row>
    <row r="94" spans="1:6" ht="14.25" thickBot="1">
      <c r="A94" s="1753" t="s">
        <v>1406</v>
      </c>
      <c r="B94" s="1757" t="s">
        <v>1259</v>
      </c>
      <c r="C94" s="1758">
        <v>7.5999999999999998E-2</v>
      </c>
      <c r="D94" s="1758">
        <v>7.3999999999999996E-2</v>
      </c>
      <c r="E94" s="1758">
        <v>9.7000000000000003E-2</v>
      </c>
      <c r="F94" s="1766"/>
    </row>
    <row r="95" spans="1:6" ht="14.25" thickBot="1">
      <c r="A95" s="1753" t="s">
        <v>1406</v>
      </c>
      <c r="B95" s="1757" t="s">
        <v>1268</v>
      </c>
      <c r="C95" s="1758">
        <v>9.9000000000000005E-2</v>
      </c>
      <c r="D95" s="1758">
        <v>9.4E-2</v>
      </c>
      <c r="E95" s="1758">
        <v>9.6000000000000002E-2</v>
      </c>
      <c r="F95" s="1766"/>
    </row>
    <row r="96" spans="1:6" ht="14.25" thickBot="1">
      <c r="A96" s="1753" t="s">
        <v>1406</v>
      </c>
      <c r="B96" s="1757" t="s">
        <v>1277</v>
      </c>
      <c r="C96" s="1758">
        <v>9.9000000000000005E-2</v>
      </c>
      <c r="D96" s="1758">
        <v>9.9000000000000005E-2</v>
      </c>
      <c r="E96" s="1758">
        <v>9.9000000000000005E-2</v>
      </c>
      <c r="F96" s="1766"/>
    </row>
    <row r="97" spans="1:6" ht="14.25" thickBot="1">
      <c r="A97" s="1753" t="s">
        <v>1406</v>
      </c>
      <c r="B97" s="1757" t="s">
        <v>1285</v>
      </c>
      <c r="C97" s="1758">
        <v>9.8000000000000004E-2</v>
      </c>
      <c r="D97" s="1758">
        <v>9.8000000000000004E-2</v>
      </c>
      <c r="E97" s="1758">
        <v>9.7000000000000003E-2</v>
      </c>
      <c r="F97" s="1766"/>
    </row>
    <row r="98" spans="1:6" ht="14.25" thickBot="1">
      <c r="A98" s="1753" t="s">
        <v>1406</v>
      </c>
      <c r="B98" s="1757" t="s">
        <v>1292</v>
      </c>
      <c r="C98" s="1758">
        <v>0.1</v>
      </c>
      <c r="D98" s="1758">
        <v>0.1</v>
      </c>
      <c r="E98" s="1758">
        <v>9.7000000000000003E-2</v>
      </c>
      <c r="F98" s="1766"/>
    </row>
    <row r="99" spans="1:6" ht="14.25" thickBot="1">
      <c r="A99" s="1753" t="s">
        <v>1406</v>
      </c>
      <c r="B99" s="1757" t="s">
        <v>1299</v>
      </c>
      <c r="C99" s="1758">
        <v>0.1</v>
      </c>
      <c r="D99" s="1758">
        <v>0.1</v>
      </c>
      <c r="E99" s="1767"/>
      <c r="F99" s="1766"/>
    </row>
    <row r="100" spans="1:6" ht="14.25" thickBot="1">
      <c r="A100" s="1753" t="s">
        <v>1406</v>
      </c>
      <c r="B100" s="1757" t="s">
        <v>1306</v>
      </c>
      <c r="C100" s="1758">
        <v>0.09</v>
      </c>
      <c r="D100" s="1758">
        <v>8.8999999999999996E-2</v>
      </c>
      <c r="E100" s="1767"/>
      <c r="F100" s="1766"/>
    </row>
    <row r="101" spans="1:6" ht="14.25" thickBot="1">
      <c r="A101" s="1753" t="s">
        <v>1406</v>
      </c>
      <c r="B101" s="1757" t="s">
        <v>1313</v>
      </c>
      <c r="C101" s="1758">
        <v>9.8000000000000004E-2</v>
      </c>
      <c r="D101" s="1758">
        <v>9.7000000000000003E-2</v>
      </c>
      <c r="E101" s="1767"/>
      <c r="F101" s="1766"/>
    </row>
    <row r="102" spans="1:6" ht="14.25" thickBot="1">
      <c r="A102" s="1753" t="s">
        <v>1406</v>
      </c>
      <c r="B102" s="1757" t="s">
        <v>2096</v>
      </c>
      <c r="C102" s="1767"/>
      <c r="D102" s="1767"/>
      <c r="E102" s="1767"/>
      <c r="F102" s="1759">
        <v>0.05</v>
      </c>
    </row>
    <row r="103" spans="1:6" ht="24.75" thickBot="1">
      <c r="A103" s="1753" t="s">
        <v>1406</v>
      </c>
      <c r="B103" s="1757" t="s">
        <v>2097</v>
      </c>
      <c r="C103" s="1767"/>
      <c r="D103" s="1767"/>
      <c r="E103" s="1767"/>
      <c r="F103" s="1759">
        <v>0.05</v>
      </c>
    </row>
    <row r="104" spans="1:6" ht="14.25" thickBot="1">
      <c r="A104" s="1753" t="s">
        <v>1406</v>
      </c>
      <c r="B104" s="1757" t="s">
        <v>2098</v>
      </c>
      <c r="C104" s="1767"/>
      <c r="D104" s="1767"/>
      <c r="E104" s="1767"/>
      <c r="F104" s="1759">
        <v>0.05</v>
      </c>
    </row>
    <row r="105" spans="1:6" ht="14.25" thickBot="1">
      <c r="A105" s="1753" t="s">
        <v>1406</v>
      </c>
      <c r="B105" s="1757" t="s">
        <v>2099</v>
      </c>
      <c r="C105" s="1767"/>
      <c r="D105" s="1767"/>
      <c r="E105" s="1767"/>
      <c r="F105" s="1759">
        <v>0.05</v>
      </c>
    </row>
    <row r="106" spans="1:6" ht="14.25" thickBot="1">
      <c r="A106" s="1753" t="s">
        <v>1406</v>
      </c>
      <c r="B106" s="1757" t="s">
        <v>2100</v>
      </c>
      <c r="C106" s="1767"/>
      <c r="D106" s="1767"/>
      <c r="E106" s="1767"/>
      <c r="F106" s="1759">
        <v>0.05</v>
      </c>
    </row>
    <row r="107" spans="1:6" ht="24.75" thickBot="1">
      <c r="A107" s="1753" t="s">
        <v>1406</v>
      </c>
      <c r="B107" s="1757" t="s">
        <v>2101</v>
      </c>
      <c r="C107" s="1767"/>
      <c r="D107" s="1767"/>
      <c r="E107" s="1767"/>
      <c r="F107" s="1759">
        <v>0.05</v>
      </c>
    </row>
    <row r="108" spans="1:6" ht="24.75" thickBot="1">
      <c r="A108" s="1753" t="s">
        <v>1406</v>
      </c>
      <c r="B108" s="1757" t="s">
        <v>2102</v>
      </c>
      <c r="C108" s="1767"/>
      <c r="D108" s="1767"/>
      <c r="E108" s="1767"/>
      <c r="F108" s="1759">
        <v>0.05</v>
      </c>
    </row>
    <row r="109" spans="1:6" ht="24.75" thickBot="1">
      <c r="A109" s="1761" t="s">
        <v>1406</v>
      </c>
      <c r="B109" s="1768" t="s">
        <v>2103</v>
      </c>
      <c r="C109" s="1764"/>
      <c r="D109" s="1764"/>
      <c r="E109" s="1764"/>
      <c r="F109" s="1769">
        <v>0.05</v>
      </c>
    </row>
    <row r="110" spans="1:6" ht="14.25" thickBot="1">
      <c r="A110" s="1753" t="s">
        <v>1408</v>
      </c>
      <c r="B110" s="1754" t="s">
        <v>2104</v>
      </c>
      <c r="C110" s="1755">
        <v>0.129</v>
      </c>
      <c r="D110" s="1755">
        <v>0.129</v>
      </c>
      <c r="E110" s="1755">
        <v>0.126</v>
      </c>
      <c r="F110" s="1756">
        <v>0.13</v>
      </c>
    </row>
    <row r="111" spans="1:6" ht="14.25" thickBot="1">
      <c r="A111" s="1753" t="s">
        <v>1408</v>
      </c>
      <c r="B111" s="1757" t="s">
        <v>1074</v>
      </c>
      <c r="C111" s="1758">
        <v>0.11</v>
      </c>
      <c r="D111" s="1758">
        <v>0.11</v>
      </c>
      <c r="E111" s="1758">
        <v>9.9000000000000005E-2</v>
      </c>
      <c r="F111" s="1759">
        <v>0.128</v>
      </c>
    </row>
    <row r="112" spans="1:6" ht="14.25" thickBot="1">
      <c r="A112" s="1753" t="s">
        <v>1408</v>
      </c>
      <c r="B112" s="1757" t="s">
        <v>1088</v>
      </c>
      <c r="C112" s="1758">
        <v>0.125</v>
      </c>
      <c r="D112" s="1758">
        <v>0.125</v>
      </c>
      <c r="E112" s="1758">
        <v>0.12</v>
      </c>
      <c r="F112" s="1759">
        <v>0.125</v>
      </c>
    </row>
    <row r="113" spans="1:6" ht="14.25" thickBot="1">
      <c r="A113" s="1753" t="s">
        <v>1408</v>
      </c>
      <c r="B113" s="1757" t="s">
        <v>1101</v>
      </c>
      <c r="C113" s="1758">
        <v>0.13</v>
      </c>
      <c r="D113" s="1758">
        <v>0.13</v>
      </c>
      <c r="E113" s="1758">
        <v>0.13</v>
      </c>
      <c r="F113" s="1759">
        <v>0.13</v>
      </c>
    </row>
    <row r="114" spans="1:6" ht="14.25" thickBot="1">
      <c r="A114" s="1753" t="s">
        <v>1408</v>
      </c>
      <c r="B114" s="1757" t="s">
        <v>1115</v>
      </c>
      <c r="C114" s="1758">
        <v>0.123</v>
      </c>
      <c r="D114" s="1758">
        <v>0.123</v>
      </c>
      <c r="E114" s="1758">
        <v>0.12</v>
      </c>
      <c r="F114" s="1759">
        <v>0.13</v>
      </c>
    </row>
    <row r="115" spans="1:6" ht="14.25" thickBot="1">
      <c r="A115" s="1753" t="s">
        <v>1408</v>
      </c>
      <c r="B115" s="1757" t="s">
        <v>1126</v>
      </c>
      <c r="C115" s="1758">
        <v>0.125</v>
      </c>
      <c r="D115" s="1758">
        <v>0.125</v>
      </c>
      <c r="E115" s="1758">
        <v>0.11700000000000001</v>
      </c>
      <c r="F115" s="1759">
        <v>0.13</v>
      </c>
    </row>
    <row r="116" spans="1:6" ht="14.25" thickBot="1">
      <c r="A116" s="1753" t="s">
        <v>1408</v>
      </c>
      <c r="B116" s="1757" t="s">
        <v>1137</v>
      </c>
      <c r="C116" s="1758">
        <v>0.11700000000000001</v>
      </c>
      <c r="D116" s="1758">
        <v>0.11700000000000001</v>
      </c>
      <c r="E116" s="1758">
        <v>8.7999999999999995E-2</v>
      </c>
      <c r="F116" s="1759">
        <v>0.13</v>
      </c>
    </row>
    <row r="117" spans="1:6" ht="14.25" thickBot="1">
      <c r="A117" s="1753" t="s">
        <v>1408</v>
      </c>
      <c r="B117" s="1757" t="s">
        <v>1148</v>
      </c>
      <c r="C117" s="1758">
        <v>0.13</v>
      </c>
      <c r="D117" s="1758">
        <v>0.13</v>
      </c>
      <c r="E117" s="1758">
        <v>0.129</v>
      </c>
      <c r="F117" s="1759">
        <v>0.13</v>
      </c>
    </row>
    <row r="118" spans="1:6" ht="14.25" thickBot="1">
      <c r="A118" s="1753" t="s">
        <v>1408</v>
      </c>
      <c r="B118" s="1757" t="s">
        <v>1160</v>
      </c>
      <c r="C118" s="1758">
        <v>0.123</v>
      </c>
      <c r="D118" s="1758">
        <v>0.123</v>
      </c>
      <c r="E118" s="1758">
        <v>0.11600000000000001</v>
      </c>
      <c r="F118" s="1759">
        <v>0.13</v>
      </c>
    </row>
    <row r="119" spans="1:6" ht="14.25" thickBot="1">
      <c r="A119" s="1753" t="s">
        <v>1408</v>
      </c>
      <c r="B119" s="1757" t="s">
        <v>1170</v>
      </c>
      <c r="C119" s="1758">
        <v>0.127</v>
      </c>
      <c r="D119" s="1758">
        <v>0.127</v>
      </c>
      <c r="E119" s="1758">
        <v>0.124</v>
      </c>
      <c r="F119" s="1759">
        <v>0.13</v>
      </c>
    </row>
    <row r="120" spans="1:6" ht="14.25" thickBot="1">
      <c r="A120" s="1753" t="s">
        <v>1408</v>
      </c>
      <c r="B120" s="1757" t="s">
        <v>1180</v>
      </c>
      <c r="C120" s="1758">
        <v>0.125</v>
      </c>
      <c r="D120" s="1758">
        <v>0.125</v>
      </c>
      <c r="E120" s="1758">
        <v>0.122</v>
      </c>
      <c r="F120" s="1759">
        <v>0.13</v>
      </c>
    </row>
    <row r="121" spans="1:6" ht="14.25" thickBot="1">
      <c r="A121" s="1753" t="s">
        <v>1408</v>
      </c>
      <c r="B121" s="1757" t="s">
        <v>1190</v>
      </c>
      <c r="C121" s="1758">
        <v>0.13</v>
      </c>
      <c r="D121" s="1758">
        <v>0.13</v>
      </c>
      <c r="E121" s="1758">
        <v>0.13</v>
      </c>
      <c r="F121" s="1759">
        <v>0.13</v>
      </c>
    </row>
    <row r="122" spans="1:6" ht="14.25" thickBot="1">
      <c r="A122" s="1753" t="s">
        <v>1408</v>
      </c>
      <c r="B122" s="1757" t="s">
        <v>1200</v>
      </c>
      <c r="C122" s="1758">
        <v>0.13</v>
      </c>
      <c r="D122" s="1758">
        <v>0.13</v>
      </c>
      <c r="E122" s="1758">
        <v>0.125</v>
      </c>
      <c r="F122" s="1759">
        <v>0.13</v>
      </c>
    </row>
    <row r="123" spans="1:6" ht="14.25" thickBot="1">
      <c r="A123" s="1753" t="s">
        <v>1408</v>
      </c>
      <c r="B123" s="1757" t="s">
        <v>1210</v>
      </c>
      <c r="C123" s="1758">
        <v>0.129</v>
      </c>
      <c r="D123" s="1758">
        <v>0.129</v>
      </c>
      <c r="E123" s="1758">
        <v>0.123</v>
      </c>
      <c r="F123" s="1759">
        <v>0.13</v>
      </c>
    </row>
    <row r="124" spans="1:6" ht="14.25" thickBot="1">
      <c r="A124" s="1753" t="s">
        <v>1408</v>
      </c>
      <c r="B124" s="1757" t="s">
        <v>1220</v>
      </c>
      <c r="C124" s="1758">
        <v>0.10199999999999999</v>
      </c>
      <c r="D124" s="1758">
        <v>0.10100000000000001</v>
      </c>
      <c r="E124" s="1758">
        <v>0.08</v>
      </c>
      <c r="F124" s="1766"/>
    </row>
    <row r="125" spans="1:6" ht="14.25" thickBot="1">
      <c r="A125" s="1753" t="s">
        <v>1408</v>
      </c>
      <c r="B125" s="1757" t="s">
        <v>1230</v>
      </c>
      <c r="C125" s="1758">
        <v>0.13</v>
      </c>
      <c r="D125" s="1758">
        <v>0.13</v>
      </c>
      <c r="E125" s="1758">
        <v>0.129</v>
      </c>
      <c r="F125" s="1766"/>
    </row>
    <row r="126" spans="1:6" ht="14.25" thickBot="1">
      <c r="A126" s="1753" t="s">
        <v>1408</v>
      </c>
      <c r="B126" s="1757" t="s">
        <v>1240</v>
      </c>
      <c r="C126" s="1758">
        <v>0.13</v>
      </c>
      <c r="D126" s="1758">
        <v>0.13</v>
      </c>
      <c r="E126" s="1758">
        <v>0.126</v>
      </c>
      <c r="F126" s="1766"/>
    </row>
    <row r="127" spans="1:6" ht="14.25" thickBot="1">
      <c r="A127" s="1753" t="s">
        <v>1408</v>
      </c>
      <c r="B127" s="1757" t="s">
        <v>1250</v>
      </c>
      <c r="C127" s="1758">
        <v>0.125</v>
      </c>
      <c r="D127" s="1758">
        <v>0.125</v>
      </c>
      <c r="E127" s="1758">
        <v>0.121</v>
      </c>
      <c r="F127" s="1766"/>
    </row>
    <row r="128" spans="1:6" ht="14.25" thickBot="1">
      <c r="A128" s="1753" t="s">
        <v>1408</v>
      </c>
      <c r="B128" s="1757" t="s">
        <v>1260</v>
      </c>
      <c r="C128" s="1758">
        <v>0.12</v>
      </c>
      <c r="D128" s="1758">
        <v>0.12</v>
      </c>
      <c r="E128" s="1758">
        <v>0.105</v>
      </c>
      <c r="F128" s="1766"/>
    </row>
    <row r="129" spans="1:6" ht="14.25" thickBot="1">
      <c r="A129" s="1753" t="s">
        <v>1408</v>
      </c>
      <c r="B129" s="1757" t="s">
        <v>1269</v>
      </c>
      <c r="C129" s="1758">
        <v>0.13</v>
      </c>
      <c r="D129" s="1758">
        <v>0.13</v>
      </c>
      <c r="E129" s="1758">
        <v>0.126</v>
      </c>
      <c r="F129" s="1766"/>
    </row>
    <row r="130" spans="1:6" ht="14.25" thickBot="1">
      <c r="A130" s="1753" t="s">
        <v>1408</v>
      </c>
      <c r="B130" s="1757" t="s">
        <v>1278</v>
      </c>
      <c r="C130" s="1758">
        <v>0.125</v>
      </c>
      <c r="D130" s="1758">
        <v>0.125</v>
      </c>
      <c r="E130" s="1758">
        <v>0.122</v>
      </c>
      <c r="F130" s="1766"/>
    </row>
    <row r="131" spans="1:6" ht="14.25" thickBot="1">
      <c r="A131" s="1753" t="s">
        <v>1408</v>
      </c>
      <c r="B131" s="1757" t="s">
        <v>1286</v>
      </c>
      <c r="C131" s="1758">
        <v>0.127</v>
      </c>
      <c r="D131" s="1758">
        <v>0.126</v>
      </c>
      <c r="E131" s="1758">
        <v>0.123</v>
      </c>
      <c r="F131" s="1766"/>
    </row>
    <row r="132" spans="1:6" ht="14.25" thickBot="1">
      <c r="A132" s="1753" t="s">
        <v>1408</v>
      </c>
      <c r="B132" s="1757" t="s">
        <v>1293</v>
      </c>
      <c r="C132" s="1758">
        <v>9.0999999999999998E-2</v>
      </c>
      <c r="D132" s="1758">
        <v>0.121</v>
      </c>
      <c r="E132" s="1758">
        <v>9.9000000000000005E-2</v>
      </c>
      <c r="F132" s="1766"/>
    </row>
    <row r="133" spans="1:6" ht="14.25" thickBot="1">
      <c r="A133" s="1753" t="s">
        <v>1408</v>
      </c>
      <c r="B133" s="1757" t="s">
        <v>1300</v>
      </c>
      <c r="C133" s="1758">
        <v>0.13</v>
      </c>
      <c r="D133" s="1758">
        <v>0.13</v>
      </c>
      <c r="E133" s="1758">
        <v>0.129</v>
      </c>
      <c r="F133" s="1766"/>
    </row>
    <row r="134" spans="1:6" ht="14.25" thickBot="1">
      <c r="A134" s="1753" t="s">
        <v>1408</v>
      </c>
      <c r="B134" s="1757" t="s">
        <v>2105</v>
      </c>
      <c r="C134" s="1758">
        <v>6.8000000000000005E-2</v>
      </c>
      <c r="D134" s="1758">
        <v>6.5000000000000002E-2</v>
      </c>
      <c r="E134" s="1758">
        <v>6.5000000000000002E-2</v>
      </c>
      <c r="F134" s="1759">
        <v>0.13</v>
      </c>
    </row>
    <row r="135" spans="1:6" ht="14.25" thickBot="1">
      <c r="A135" s="1753" t="s">
        <v>1408</v>
      </c>
      <c r="B135" s="1757" t="s">
        <v>1314</v>
      </c>
      <c r="C135" s="1758">
        <v>0.123</v>
      </c>
      <c r="D135" s="1758">
        <v>0.123</v>
      </c>
      <c r="E135" s="1758">
        <v>0.11</v>
      </c>
      <c r="F135" s="1766"/>
    </row>
    <row r="136" spans="1:6" ht="14.25" thickBot="1">
      <c r="A136" s="1753" t="s">
        <v>1408</v>
      </c>
      <c r="B136" s="1757" t="s">
        <v>1321</v>
      </c>
      <c r="C136" s="1758">
        <v>0.13</v>
      </c>
      <c r="D136" s="1758">
        <v>0.13</v>
      </c>
      <c r="E136" s="1758">
        <v>0.125</v>
      </c>
      <c r="F136" s="1766"/>
    </row>
    <row r="137" spans="1:6" ht="14.25" thickBot="1">
      <c r="A137" s="1753" t="s">
        <v>1408</v>
      </c>
      <c r="B137" s="1757" t="s">
        <v>1328</v>
      </c>
      <c r="C137" s="1758">
        <v>0.121</v>
      </c>
      <c r="D137" s="1758">
        <v>0.122</v>
      </c>
      <c r="E137" s="1758">
        <v>0.115</v>
      </c>
      <c r="F137" s="1766"/>
    </row>
    <row r="138" spans="1:6" ht="14.25" thickBot="1">
      <c r="A138" s="1753" t="s">
        <v>1408</v>
      </c>
      <c r="B138" s="1757" t="s">
        <v>2106</v>
      </c>
      <c r="C138" s="1758">
        <v>0.105</v>
      </c>
      <c r="D138" s="1758">
        <v>0.125</v>
      </c>
      <c r="E138" s="1758">
        <v>0.112</v>
      </c>
      <c r="F138" s="1766"/>
    </row>
    <row r="139" spans="1:6" ht="14.25" thickBot="1">
      <c r="A139" s="1753" t="s">
        <v>1408</v>
      </c>
      <c r="B139" s="1757" t="s">
        <v>2107</v>
      </c>
      <c r="C139" s="1758">
        <v>0.127</v>
      </c>
      <c r="D139" s="1758">
        <v>0.127</v>
      </c>
      <c r="E139" s="1758">
        <v>0.122</v>
      </c>
      <c r="F139" s="1759">
        <v>0.13</v>
      </c>
    </row>
    <row r="140" spans="1:6" ht="14.25" thickBot="1">
      <c r="A140" s="1753" t="s">
        <v>1408</v>
      </c>
      <c r="B140" s="1757" t="s">
        <v>2108</v>
      </c>
      <c r="C140" s="1758">
        <v>0.125</v>
      </c>
      <c r="D140" s="1758">
        <v>0.125</v>
      </c>
      <c r="E140" s="1758">
        <v>0.11899999999999999</v>
      </c>
      <c r="F140" s="1759">
        <v>0.13</v>
      </c>
    </row>
    <row r="141" spans="1:6" ht="14.25" thickBot="1">
      <c r="A141" s="1753" t="s">
        <v>1408</v>
      </c>
      <c r="B141" s="1757" t="s">
        <v>1347</v>
      </c>
      <c r="C141" s="1758">
        <v>0.125</v>
      </c>
      <c r="D141" s="1758">
        <v>0.125</v>
      </c>
      <c r="E141" s="1758">
        <v>0.11700000000000001</v>
      </c>
      <c r="F141" s="1766"/>
    </row>
    <row r="142" spans="1:6" ht="14.25" thickBot="1">
      <c r="A142" s="1753" t="s">
        <v>1408</v>
      </c>
      <c r="B142" s="1757" t="s">
        <v>1352</v>
      </c>
      <c r="C142" s="1758">
        <v>0.125</v>
      </c>
      <c r="D142" s="1758">
        <v>0.125</v>
      </c>
      <c r="E142" s="1758">
        <v>0.115</v>
      </c>
      <c r="F142" s="1766"/>
    </row>
    <row r="143" spans="1:6" ht="14.25" thickBot="1">
      <c r="A143" s="1753" t="s">
        <v>1408</v>
      </c>
      <c r="B143" s="1757" t="s">
        <v>1357</v>
      </c>
      <c r="C143" s="1758">
        <v>0.121</v>
      </c>
      <c r="D143" s="1758">
        <v>0.121</v>
      </c>
      <c r="E143" s="1758">
        <v>0.108</v>
      </c>
      <c r="F143" s="1766"/>
    </row>
    <row r="144" spans="1:6" ht="14.25" thickBot="1">
      <c r="A144" s="1753" t="s">
        <v>1408</v>
      </c>
      <c r="B144" s="1770" t="s">
        <v>2109</v>
      </c>
      <c r="C144" s="1771">
        <v>0.126</v>
      </c>
      <c r="D144" s="1771">
        <v>0.126</v>
      </c>
      <c r="E144" s="1771">
        <v>0.121</v>
      </c>
      <c r="F144" s="1766"/>
    </row>
    <row r="145" spans="1:6" ht="14.25" thickBot="1">
      <c r="A145" s="1761" t="s">
        <v>1408</v>
      </c>
      <c r="B145" s="1772" t="s">
        <v>2110</v>
      </c>
      <c r="C145" s="1773"/>
      <c r="D145" s="1773"/>
      <c r="E145" s="1773"/>
      <c r="F145" s="1774">
        <v>0.05</v>
      </c>
    </row>
    <row r="146" spans="1:6" ht="24.75" thickBot="1">
      <c r="A146" s="1775" t="s">
        <v>1408</v>
      </c>
      <c r="B146" s="1760" t="s">
        <v>2111</v>
      </c>
      <c r="C146" s="1767"/>
      <c r="D146" s="1767"/>
      <c r="E146" s="1767"/>
      <c r="F146" s="1776">
        <v>0.05</v>
      </c>
    </row>
    <row r="147" spans="1:6" ht="24.75" thickBot="1">
      <c r="A147" s="1753" t="s">
        <v>1408</v>
      </c>
      <c r="B147" s="1757" t="s">
        <v>2112</v>
      </c>
      <c r="C147" s="1767"/>
      <c r="D147" s="1767"/>
      <c r="E147" s="1767"/>
      <c r="F147" s="1759">
        <v>0.05</v>
      </c>
    </row>
    <row r="148" spans="1:6" ht="24.75" thickBot="1">
      <c r="A148" s="1753" t="s">
        <v>1408</v>
      </c>
      <c r="B148" s="1757" t="s">
        <v>2113</v>
      </c>
      <c r="C148" s="1767"/>
      <c r="D148" s="1767"/>
      <c r="E148" s="1767"/>
      <c r="F148" s="1759">
        <v>0.05</v>
      </c>
    </row>
    <row r="149" spans="1:6" ht="24.75" thickBot="1">
      <c r="A149" s="1753" t="s">
        <v>1408</v>
      </c>
      <c r="B149" s="1757" t="s">
        <v>2114</v>
      </c>
      <c r="C149" s="1767"/>
      <c r="D149" s="1767"/>
      <c r="E149" s="1767"/>
      <c r="F149" s="1759">
        <v>0.05</v>
      </c>
    </row>
    <row r="150" spans="1:6" ht="24.75" thickBot="1">
      <c r="A150" s="1753" t="s">
        <v>1408</v>
      </c>
      <c r="B150" s="1757" t="s">
        <v>2115</v>
      </c>
      <c r="C150" s="1767"/>
      <c r="D150" s="1767"/>
      <c r="E150" s="1767"/>
      <c r="F150" s="1759">
        <v>0.05</v>
      </c>
    </row>
    <row r="151" spans="1:6" ht="24.75" thickBot="1">
      <c r="A151" s="1753" t="s">
        <v>1408</v>
      </c>
      <c r="B151" s="1757" t="s">
        <v>2116</v>
      </c>
      <c r="C151" s="1767"/>
      <c r="D151" s="1767"/>
      <c r="E151" s="1767"/>
      <c r="F151" s="1759">
        <v>0.05</v>
      </c>
    </row>
    <row r="152" spans="1:6" ht="24.75" thickBot="1">
      <c r="A152" s="1753" t="s">
        <v>1408</v>
      </c>
      <c r="B152" s="1757" t="s">
        <v>1390</v>
      </c>
      <c r="C152" s="1767"/>
      <c r="D152" s="1767"/>
      <c r="E152" s="1767"/>
      <c r="F152" s="1759">
        <v>0.05</v>
      </c>
    </row>
    <row r="153" spans="1:6" ht="14.25" thickBot="1">
      <c r="A153" s="1753" t="s">
        <v>1408</v>
      </c>
      <c r="B153" s="1757" t="s">
        <v>2117</v>
      </c>
      <c r="C153" s="1767"/>
      <c r="D153" s="1767"/>
      <c r="E153" s="1767"/>
      <c r="F153" s="1759">
        <v>0.05</v>
      </c>
    </row>
    <row r="154" spans="1:6" ht="14.25" thickBot="1">
      <c r="A154" s="1753" t="s">
        <v>1408</v>
      </c>
      <c r="B154" s="1757" t="s">
        <v>2118</v>
      </c>
      <c r="C154" s="1767"/>
      <c r="D154" s="1767"/>
      <c r="E154" s="1767"/>
      <c r="F154" s="1759">
        <v>0.05</v>
      </c>
    </row>
    <row r="155" spans="1:6" ht="24.75" thickBot="1">
      <c r="A155" s="1753" t="s">
        <v>1408</v>
      </c>
      <c r="B155" s="1757" t="s">
        <v>2119</v>
      </c>
      <c r="C155" s="1767"/>
      <c r="D155" s="1767"/>
      <c r="E155" s="1767"/>
      <c r="F155" s="1759">
        <v>0.05</v>
      </c>
    </row>
    <row r="156" spans="1:6" ht="24.75" thickBot="1">
      <c r="A156" s="1753" t="s">
        <v>1408</v>
      </c>
      <c r="B156" s="1757" t="s">
        <v>2120</v>
      </c>
      <c r="C156" s="1767"/>
      <c r="D156" s="1767"/>
      <c r="E156" s="1767"/>
      <c r="F156" s="1759">
        <v>0.05</v>
      </c>
    </row>
    <row r="157" spans="1:6" ht="14.25" thickBot="1">
      <c r="A157" s="1761" t="s">
        <v>1408</v>
      </c>
      <c r="B157" s="1768" t="s">
        <v>2121</v>
      </c>
      <c r="C157" s="1764"/>
      <c r="D157" s="1764"/>
      <c r="E157" s="1764"/>
      <c r="F157" s="1769">
        <v>0.05</v>
      </c>
    </row>
    <row r="158" spans="1:6" ht="14.25" thickBot="1">
      <c r="A158" s="1753" t="s">
        <v>1410</v>
      </c>
      <c r="B158" s="1754" t="s">
        <v>2122</v>
      </c>
      <c r="C158" s="1755">
        <v>0.13</v>
      </c>
      <c r="D158" s="1755">
        <v>0.13</v>
      </c>
      <c r="E158" s="1755">
        <v>0.13</v>
      </c>
      <c r="F158" s="1756">
        <v>0.13</v>
      </c>
    </row>
    <row r="159" spans="1:6" ht="14.25" thickBot="1">
      <c r="A159" s="1753" t="s">
        <v>1410</v>
      </c>
      <c r="B159" s="1757" t="s">
        <v>1075</v>
      </c>
      <c r="C159" s="1758">
        <v>0.13</v>
      </c>
      <c r="D159" s="1758">
        <v>0.13</v>
      </c>
      <c r="E159" s="1758">
        <v>0.13</v>
      </c>
      <c r="F159" s="1759">
        <v>0.13</v>
      </c>
    </row>
    <row r="160" spans="1:6" ht="14.25" thickBot="1">
      <c r="A160" s="1753" t="s">
        <v>1410</v>
      </c>
      <c r="B160" s="1757" t="s">
        <v>1089</v>
      </c>
      <c r="C160" s="1758">
        <v>0.13</v>
      </c>
      <c r="D160" s="1758">
        <v>0.13</v>
      </c>
      <c r="E160" s="1758">
        <v>0.129</v>
      </c>
      <c r="F160" s="1759">
        <v>0.13</v>
      </c>
    </row>
    <row r="161" spans="1:6" ht="14.25" thickBot="1">
      <c r="A161" s="1753" t="s">
        <v>1410</v>
      </c>
      <c r="B161" s="1757" t="s">
        <v>1102</v>
      </c>
      <c r="C161" s="1758">
        <v>0.128</v>
      </c>
      <c r="D161" s="1758">
        <v>0.128</v>
      </c>
      <c r="E161" s="1758">
        <v>0.125</v>
      </c>
      <c r="F161" s="1759">
        <v>0.13</v>
      </c>
    </row>
    <row r="162" spans="1:6" ht="14.25" thickBot="1">
      <c r="A162" s="1753" t="s">
        <v>1410</v>
      </c>
      <c r="B162" s="1757" t="s">
        <v>1116</v>
      </c>
      <c r="C162" s="1758">
        <v>0.122</v>
      </c>
      <c r="D162" s="1758">
        <v>0.122</v>
      </c>
      <c r="E162" s="1758">
        <v>0.126</v>
      </c>
      <c r="F162" s="1759">
        <v>0.122</v>
      </c>
    </row>
    <row r="163" spans="1:6" ht="14.25" thickBot="1">
      <c r="A163" s="1753" t="s">
        <v>1410</v>
      </c>
      <c r="B163" s="1757" t="s">
        <v>1127</v>
      </c>
      <c r="C163" s="1758">
        <v>0.13</v>
      </c>
      <c r="D163" s="1758">
        <v>0.13</v>
      </c>
      <c r="E163" s="1758">
        <v>0.125</v>
      </c>
      <c r="F163" s="1759">
        <v>0.13</v>
      </c>
    </row>
    <row r="164" spans="1:6" ht="14.25" thickBot="1">
      <c r="A164" s="1753" t="s">
        <v>1410</v>
      </c>
      <c r="B164" s="1757" t="s">
        <v>1138</v>
      </c>
      <c r="C164" s="1758">
        <v>0.13</v>
      </c>
      <c r="D164" s="1758">
        <v>0.13</v>
      </c>
      <c r="E164" s="1758">
        <v>0.13</v>
      </c>
      <c r="F164" s="1759">
        <v>0.13</v>
      </c>
    </row>
    <row r="165" spans="1:6" ht="14.25" thickBot="1">
      <c r="A165" s="1753" t="s">
        <v>1410</v>
      </c>
      <c r="B165" s="1757" t="s">
        <v>1149</v>
      </c>
      <c r="C165" s="1758">
        <v>0.13</v>
      </c>
      <c r="D165" s="1758">
        <v>0.13</v>
      </c>
      <c r="E165" s="1758">
        <v>0.124</v>
      </c>
      <c r="F165" s="1759">
        <v>0.13</v>
      </c>
    </row>
    <row r="166" spans="1:6" ht="14.25" thickBot="1">
      <c r="A166" s="1753" t="s">
        <v>1410</v>
      </c>
      <c r="B166" s="1757" t="s">
        <v>1161</v>
      </c>
      <c r="C166" s="1758">
        <v>0.13</v>
      </c>
      <c r="D166" s="1758">
        <v>0.13</v>
      </c>
      <c r="E166" s="1758">
        <v>0.13</v>
      </c>
      <c r="F166" s="1759">
        <v>0.13</v>
      </c>
    </row>
    <row r="167" spans="1:6" ht="14.25" thickBot="1">
      <c r="A167" s="1753" t="s">
        <v>1410</v>
      </c>
      <c r="B167" s="1757" t="s">
        <v>1171</v>
      </c>
      <c r="C167" s="1758">
        <v>0.125</v>
      </c>
      <c r="D167" s="1758">
        <v>0.125</v>
      </c>
      <c r="E167" s="1758">
        <v>0.121</v>
      </c>
      <c r="F167" s="1766"/>
    </row>
    <row r="168" spans="1:6" ht="14.25" thickBot="1">
      <c r="A168" s="1753" t="s">
        <v>1410</v>
      </c>
      <c r="B168" s="1757" t="s">
        <v>1181</v>
      </c>
      <c r="C168" s="1758">
        <v>0.13</v>
      </c>
      <c r="D168" s="1758">
        <v>0.13</v>
      </c>
      <c r="E168" s="1758">
        <v>0.126</v>
      </c>
      <c r="F168" s="1766"/>
    </row>
    <row r="169" spans="1:6" ht="14.25" thickBot="1">
      <c r="A169" s="1753" t="s">
        <v>1410</v>
      </c>
      <c r="B169" s="1757" t="s">
        <v>1191</v>
      </c>
      <c r="C169" s="1758">
        <v>0.128</v>
      </c>
      <c r="D169" s="1758">
        <v>0.129</v>
      </c>
      <c r="E169" s="1758">
        <v>0.13</v>
      </c>
      <c r="F169" s="1766"/>
    </row>
    <row r="170" spans="1:6" ht="14.25" thickBot="1">
      <c r="A170" s="1753" t="s">
        <v>1410</v>
      </c>
      <c r="B170" s="1757" t="s">
        <v>1201</v>
      </c>
      <c r="C170" s="1758">
        <v>0.14099999999999999</v>
      </c>
      <c r="D170" s="1758">
        <v>0.13</v>
      </c>
      <c r="E170" s="1758">
        <v>0.125</v>
      </c>
      <c r="F170" s="1766"/>
    </row>
    <row r="171" spans="1:6" ht="14.25" thickBot="1">
      <c r="A171" s="1753" t="s">
        <v>1410</v>
      </c>
      <c r="B171" s="1757" t="s">
        <v>2123</v>
      </c>
      <c r="C171" s="1758">
        <v>0.127</v>
      </c>
      <c r="D171" s="1758">
        <v>0.126</v>
      </c>
      <c r="E171" s="1758">
        <v>0.126</v>
      </c>
      <c r="F171" s="1759">
        <v>0.11799999999999999</v>
      </c>
    </row>
    <row r="172" spans="1:6" ht="14.25" thickBot="1">
      <c r="A172" s="1753" t="s">
        <v>1410</v>
      </c>
      <c r="B172" s="1757" t="s">
        <v>2124</v>
      </c>
      <c r="C172" s="1758">
        <v>0.13</v>
      </c>
      <c r="D172" s="1758">
        <v>0.13</v>
      </c>
      <c r="E172" s="1758">
        <v>0.13</v>
      </c>
      <c r="F172" s="1766"/>
    </row>
    <row r="173" spans="1:6" ht="14.25" thickBot="1">
      <c r="A173" s="1753" t="s">
        <v>1410</v>
      </c>
      <c r="B173" s="1757" t="s">
        <v>1231</v>
      </c>
      <c r="C173" s="1758">
        <v>0.13</v>
      </c>
      <c r="D173" s="1758">
        <v>0.13</v>
      </c>
      <c r="E173" s="1758">
        <v>0.13</v>
      </c>
      <c r="F173" s="1766"/>
    </row>
    <row r="174" spans="1:6" ht="14.25" thickBot="1">
      <c r="A174" s="1753" t="s">
        <v>1410</v>
      </c>
      <c r="B174" s="1757" t="s">
        <v>2125</v>
      </c>
      <c r="C174" s="1758">
        <v>0.13</v>
      </c>
      <c r="D174" s="1758">
        <v>0.13</v>
      </c>
      <c r="E174" s="1758">
        <v>0.13</v>
      </c>
      <c r="F174" s="1759">
        <v>0.13</v>
      </c>
    </row>
    <row r="175" spans="1:6" ht="14.25" thickBot="1">
      <c r="A175" s="1753" t="s">
        <v>1410</v>
      </c>
      <c r="B175" s="1757" t="s">
        <v>2126</v>
      </c>
      <c r="C175" s="1758">
        <v>0.13</v>
      </c>
      <c r="D175" s="1758">
        <v>0.13</v>
      </c>
      <c r="E175" s="1758">
        <v>0.13</v>
      </c>
      <c r="F175" s="1759">
        <v>0.13</v>
      </c>
    </row>
    <row r="176" spans="1:6" ht="14.25" thickBot="1">
      <c r="A176" s="1753" t="s">
        <v>1410</v>
      </c>
      <c r="B176" s="1757" t="s">
        <v>1261</v>
      </c>
      <c r="C176" s="1758">
        <v>0.13</v>
      </c>
      <c r="D176" s="1758">
        <v>0.13</v>
      </c>
      <c r="E176" s="1758">
        <v>0.13</v>
      </c>
      <c r="F176" s="1759">
        <v>0.13</v>
      </c>
    </row>
    <row r="177" spans="1:6" ht="14.25" thickBot="1">
      <c r="A177" s="1753" t="s">
        <v>1410</v>
      </c>
      <c r="B177" s="1757" t="s">
        <v>2127</v>
      </c>
      <c r="C177" s="1758">
        <v>0.13</v>
      </c>
      <c r="D177" s="1758">
        <v>0.13</v>
      </c>
      <c r="E177" s="1758">
        <v>0.13</v>
      </c>
      <c r="F177" s="1759">
        <v>0.13</v>
      </c>
    </row>
    <row r="178" spans="1:6" ht="14.25" thickBot="1">
      <c r="A178" s="1753" t="s">
        <v>1410</v>
      </c>
      <c r="B178" s="1757" t="s">
        <v>1279</v>
      </c>
      <c r="C178" s="1758">
        <v>0.13</v>
      </c>
      <c r="D178" s="1758">
        <v>0.13</v>
      </c>
      <c r="E178" s="1758">
        <v>0.13</v>
      </c>
      <c r="F178" s="1759">
        <v>0.127</v>
      </c>
    </row>
    <row r="179" spans="1:6" ht="14.25" thickBot="1">
      <c r="A179" s="1753" t="s">
        <v>1410</v>
      </c>
      <c r="B179" s="1757" t="s">
        <v>1287</v>
      </c>
      <c r="C179" s="1758">
        <v>0.13</v>
      </c>
      <c r="D179" s="1758">
        <v>0.13</v>
      </c>
      <c r="E179" s="1758">
        <v>0.13</v>
      </c>
      <c r="F179" s="1766"/>
    </row>
    <row r="180" spans="1:6" ht="14.25" thickBot="1">
      <c r="A180" s="1753" t="s">
        <v>1410</v>
      </c>
      <c r="B180" s="1757" t="s">
        <v>2128</v>
      </c>
      <c r="C180" s="1758">
        <v>0.13</v>
      </c>
      <c r="D180" s="1758">
        <v>0.13</v>
      </c>
      <c r="E180" s="1758">
        <v>0.125</v>
      </c>
      <c r="F180" s="1759">
        <v>0.13</v>
      </c>
    </row>
    <row r="181" spans="1:6" ht="14.25" thickBot="1">
      <c r="A181" s="1753" t="s">
        <v>1410</v>
      </c>
      <c r="B181" s="1757" t="s">
        <v>1301</v>
      </c>
      <c r="C181" s="1758">
        <v>0.122</v>
      </c>
      <c r="D181" s="1758">
        <v>0.123</v>
      </c>
      <c r="E181" s="1758">
        <v>0.126</v>
      </c>
      <c r="F181" s="1759">
        <v>0.121</v>
      </c>
    </row>
    <row r="182" spans="1:6" ht="14.25" thickBot="1">
      <c r="A182" s="1753" t="s">
        <v>1410</v>
      </c>
      <c r="B182" s="1757" t="s">
        <v>1308</v>
      </c>
      <c r="C182" s="1758">
        <v>0.125</v>
      </c>
      <c r="D182" s="1758">
        <v>0.125</v>
      </c>
      <c r="E182" s="1758">
        <v>0.11700000000000001</v>
      </c>
      <c r="F182" s="1759">
        <v>0.13</v>
      </c>
    </row>
    <row r="183" spans="1:6" ht="14.25" thickBot="1">
      <c r="A183" s="1753" t="s">
        <v>1410</v>
      </c>
      <c r="B183" s="1757" t="s">
        <v>1315</v>
      </c>
      <c r="C183" s="1758">
        <v>0.127</v>
      </c>
      <c r="D183" s="1758">
        <v>0.127</v>
      </c>
      <c r="E183" s="1758">
        <v>0.128</v>
      </c>
      <c r="F183" s="1766"/>
    </row>
    <row r="184" spans="1:6" ht="14.25" thickBot="1">
      <c r="A184" s="1753" t="s">
        <v>1410</v>
      </c>
      <c r="B184" s="1757" t="s">
        <v>1322</v>
      </c>
      <c r="C184" s="1758">
        <v>0.125</v>
      </c>
      <c r="D184" s="1758">
        <v>0.125</v>
      </c>
      <c r="E184" s="1758">
        <v>0.127</v>
      </c>
      <c r="F184" s="1766"/>
    </row>
    <row r="185" spans="1:6" ht="14.25" thickBot="1">
      <c r="A185" s="1753" t="s">
        <v>1410</v>
      </c>
      <c r="B185" s="1757" t="s">
        <v>2129</v>
      </c>
      <c r="C185" s="1758">
        <v>0.127</v>
      </c>
      <c r="D185" s="1758">
        <v>0.127</v>
      </c>
      <c r="E185" s="1758">
        <v>0.128</v>
      </c>
      <c r="F185" s="1759">
        <v>0.13</v>
      </c>
    </row>
    <row r="186" spans="1:6" ht="24.75" thickBot="1">
      <c r="A186" s="1753" t="s">
        <v>1410</v>
      </c>
      <c r="B186" s="1757" t="s">
        <v>2130</v>
      </c>
      <c r="C186" s="1767"/>
      <c r="D186" s="1767"/>
      <c r="E186" s="1767"/>
      <c r="F186" s="1759">
        <v>0.05</v>
      </c>
    </row>
    <row r="187" spans="1:6" ht="14.25" thickBot="1">
      <c r="A187" s="1753" t="s">
        <v>1410</v>
      </c>
      <c r="B187" s="1757" t="s">
        <v>2131</v>
      </c>
      <c r="C187" s="1767"/>
      <c r="D187" s="1767"/>
      <c r="E187" s="1767"/>
      <c r="F187" s="1759">
        <v>0.05</v>
      </c>
    </row>
    <row r="188" spans="1:6" ht="14.25" thickBot="1">
      <c r="A188" s="1753" t="s">
        <v>1410</v>
      </c>
      <c r="B188" s="1757" t="s">
        <v>2132</v>
      </c>
      <c r="C188" s="1767"/>
      <c r="D188" s="1767"/>
      <c r="E188" s="1767"/>
      <c r="F188" s="1759">
        <v>0.05</v>
      </c>
    </row>
    <row r="189" spans="1:6" ht="24.75" thickBot="1">
      <c r="A189" s="1753" t="s">
        <v>1410</v>
      </c>
      <c r="B189" s="1757" t="s">
        <v>2133</v>
      </c>
      <c r="C189" s="1767"/>
      <c r="D189" s="1767"/>
      <c r="E189" s="1767"/>
      <c r="F189" s="1759">
        <v>0.05</v>
      </c>
    </row>
    <row r="190" spans="1:6" ht="24.75" thickBot="1">
      <c r="A190" s="1753" t="s">
        <v>1410</v>
      </c>
      <c r="B190" s="1757" t="s">
        <v>2134</v>
      </c>
      <c r="C190" s="1767"/>
      <c r="D190" s="1767"/>
      <c r="E190" s="1767"/>
      <c r="F190" s="1759">
        <v>0.05</v>
      </c>
    </row>
    <row r="191" spans="1:6" ht="24.75" thickBot="1">
      <c r="A191" s="1753" t="s">
        <v>1410</v>
      </c>
      <c r="B191" s="1757" t="s">
        <v>2135</v>
      </c>
      <c r="C191" s="1767"/>
      <c r="D191" s="1767"/>
      <c r="E191" s="1767"/>
      <c r="F191" s="1759">
        <v>0.05</v>
      </c>
    </row>
    <row r="192" spans="1:6" ht="24.75" thickBot="1">
      <c r="A192" s="1753" t="s">
        <v>1410</v>
      </c>
      <c r="B192" s="1757" t="s">
        <v>2136</v>
      </c>
      <c r="C192" s="1767"/>
      <c r="D192" s="1767"/>
      <c r="E192" s="1767"/>
      <c r="F192" s="1759">
        <v>0.05</v>
      </c>
    </row>
    <row r="193" spans="1:6" ht="24.75" thickBot="1">
      <c r="A193" s="1753" t="s">
        <v>1410</v>
      </c>
      <c r="B193" s="1757" t="s">
        <v>2137</v>
      </c>
      <c r="C193" s="1767"/>
      <c r="D193" s="1767"/>
      <c r="E193" s="1767"/>
      <c r="F193" s="1759">
        <v>0.05</v>
      </c>
    </row>
    <row r="194" spans="1:6" ht="24.75" thickBot="1">
      <c r="A194" s="1753" t="s">
        <v>1410</v>
      </c>
      <c r="B194" s="1757" t="s">
        <v>2138</v>
      </c>
      <c r="C194" s="1767"/>
      <c r="D194" s="1767"/>
      <c r="E194" s="1767"/>
      <c r="F194" s="1759">
        <v>0.05</v>
      </c>
    </row>
    <row r="195" spans="1:6" ht="14.25" thickBot="1">
      <c r="A195" s="1753" t="s">
        <v>1410</v>
      </c>
      <c r="B195" s="1757" t="s">
        <v>2139</v>
      </c>
      <c r="C195" s="1767"/>
      <c r="D195" s="1767"/>
      <c r="E195" s="1767"/>
      <c r="F195" s="1759">
        <v>0.05</v>
      </c>
    </row>
    <row r="196" spans="1:6" ht="24.75" thickBot="1">
      <c r="A196" s="1753" t="s">
        <v>1410</v>
      </c>
      <c r="B196" s="1757" t="s">
        <v>2140</v>
      </c>
      <c r="C196" s="1767"/>
      <c r="D196" s="1767"/>
      <c r="E196" s="1767"/>
      <c r="F196" s="1759">
        <v>0.05</v>
      </c>
    </row>
    <row r="197" spans="1:6" ht="24.75" thickBot="1">
      <c r="A197" s="1753" t="s">
        <v>1410</v>
      </c>
      <c r="B197" s="1757" t="s">
        <v>2141</v>
      </c>
      <c r="C197" s="1767"/>
      <c r="D197" s="1767"/>
      <c r="E197" s="1767"/>
      <c r="F197" s="1759">
        <v>0.05</v>
      </c>
    </row>
    <row r="198" spans="1:6" ht="24.75" thickBot="1">
      <c r="A198" s="1753" t="s">
        <v>1410</v>
      </c>
      <c r="B198" s="1757" t="s">
        <v>2142</v>
      </c>
      <c r="C198" s="1767"/>
      <c r="D198" s="1767"/>
      <c r="E198" s="1767"/>
      <c r="F198" s="1759">
        <v>0.05</v>
      </c>
    </row>
    <row r="199" spans="1:6" ht="24.75" thickBot="1">
      <c r="A199" s="1753" t="s">
        <v>1410</v>
      </c>
      <c r="B199" s="1757" t="s">
        <v>2143</v>
      </c>
      <c r="C199" s="1767"/>
      <c r="D199" s="1767"/>
      <c r="E199" s="1767"/>
      <c r="F199" s="1759">
        <v>0.05</v>
      </c>
    </row>
    <row r="200" spans="1:6" ht="24.75" thickBot="1">
      <c r="A200" s="1753" t="s">
        <v>1410</v>
      </c>
      <c r="B200" s="1757" t="s">
        <v>2144</v>
      </c>
      <c r="C200" s="1767"/>
      <c r="D200" s="1767"/>
      <c r="E200" s="1767"/>
      <c r="F200" s="1759">
        <v>0.05</v>
      </c>
    </row>
    <row r="201" spans="1:6" ht="24.75" thickBot="1">
      <c r="A201" s="1753" t="s">
        <v>1410</v>
      </c>
      <c r="B201" s="1757" t="s">
        <v>2145</v>
      </c>
      <c r="C201" s="1767"/>
      <c r="D201" s="1767"/>
      <c r="E201" s="1767"/>
      <c r="F201" s="1759">
        <v>0.05</v>
      </c>
    </row>
    <row r="202" spans="1:6" ht="24.75" thickBot="1">
      <c r="A202" s="1753" t="s">
        <v>1410</v>
      </c>
      <c r="B202" s="1757" t="s">
        <v>2146</v>
      </c>
      <c r="C202" s="1767"/>
      <c r="D202" s="1767"/>
      <c r="E202" s="1767"/>
      <c r="F202" s="1759">
        <v>0.05</v>
      </c>
    </row>
    <row r="203" spans="1:6" ht="24.75" thickBot="1">
      <c r="A203" s="1753" t="s">
        <v>1410</v>
      </c>
      <c r="B203" s="1757" t="s">
        <v>2147</v>
      </c>
      <c r="C203" s="1767"/>
      <c r="D203" s="1767"/>
      <c r="E203" s="1767"/>
      <c r="F203" s="1759">
        <v>0.05</v>
      </c>
    </row>
    <row r="204" spans="1:6" ht="14.25" thickBot="1">
      <c r="A204" s="1753" t="s">
        <v>1410</v>
      </c>
      <c r="B204" s="1757" t="s">
        <v>2148</v>
      </c>
      <c r="C204" s="1767"/>
      <c r="D204" s="1767"/>
      <c r="E204" s="1767"/>
      <c r="F204" s="1759">
        <v>0.05</v>
      </c>
    </row>
    <row r="205" spans="1:6" ht="14.25" thickBot="1">
      <c r="A205" s="1761" t="s">
        <v>1410</v>
      </c>
      <c r="B205" s="1768" t="s">
        <v>2149</v>
      </c>
      <c r="C205" s="1764"/>
      <c r="D205" s="1764"/>
      <c r="E205" s="1764"/>
      <c r="F205" s="1769">
        <v>0.05</v>
      </c>
    </row>
    <row r="206" spans="1:6" ht="14.25" thickBot="1">
      <c r="A206" s="1753" t="s">
        <v>1412</v>
      </c>
      <c r="B206" s="1754" t="s">
        <v>2150</v>
      </c>
      <c r="C206" s="1755">
        <v>0.15</v>
      </c>
      <c r="D206" s="1755">
        <v>0.15</v>
      </c>
      <c r="E206" s="1755">
        <v>0.15</v>
      </c>
      <c r="F206" s="1756">
        <v>0.15</v>
      </c>
    </row>
    <row r="207" spans="1:6" ht="14.25" thickBot="1">
      <c r="A207" s="1753" t="s">
        <v>1412</v>
      </c>
      <c r="B207" s="1757" t="s">
        <v>1076</v>
      </c>
      <c r="C207" s="1758">
        <v>0.15</v>
      </c>
      <c r="D207" s="1758">
        <v>0.15</v>
      </c>
      <c r="E207" s="1758">
        <v>0.15</v>
      </c>
      <c r="F207" s="1759">
        <v>0.14399999999999999</v>
      </c>
    </row>
    <row r="208" spans="1:6" ht="14.25" thickBot="1">
      <c r="A208" s="1753" t="s">
        <v>1412</v>
      </c>
      <c r="B208" s="1757" t="s">
        <v>1090</v>
      </c>
      <c r="C208" s="1758">
        <v>0.15</v>
      </c>
      <c r="D208" s="1758">
        <v>0.15</v>
      </c>
      <c r="E208" s="1758">
        <v>0.15</v>
      </c>
      <c r="F208" s="1759">
        <v>0.15</v>
      </c>
    </row>
    <row r="209" spans="1:6" ht="14.25" thickBot="1">
      <c r="A209" s="1753" t="s">
        <v>1412</v>
      </c>
      <c r="B209" s="1757" t="s">
        <v>1103</v>
      </c>
      <c r="C209" s="1758">
        <v>0.13700000000000001</v>
      </c>
      <c r="D209" s="1758">
        <v>0.13700000000000001</v>
      </c>
      <c r="E209" s="1758">
        <v>0.14000000000000001</v>
      </c>
      <c r="F209" s="1759">
        <v>0.11700000000000001</v>
      </c>
    </row>
    <row r="210" spans="1:6" ht="14.25" thickBot="1">
      <c r="A210" s="1753" t="s">
        <v>1412</v>
      </c>
      <c r="B210" s="1757" t="s">
        <v>2151</v>
      </c>
      <c r="C210" s="1758">
        <v>0.15</v>
      </c>
      <c r="D210" s="1758">
        <v>0.15</v>
      </c>
      <c r="E210" s="1758">
        <v>0.15</v>
      </c>
      <c r="F210" s="1759">
        <v>0.13800000000000001</v>
      </c>
    </row>
    <row r="211" spans="1:6" ht="14.25" thickBot="1">
      <c r="A211" s="1753" t="s">
        <v>1412</v>
      </c>
      <c r="B211" s="1757" t="s">
        <v>2152</v>
      </c>
      <c r="C211" s="1758">
        <v>0.13700000000000001</v>
      </c>
      <c r="D211" s="1758">
        <v>0.13500000000000001</v>
      </c>
      <c r="E211" s="1758">
        <v>0.13600000000000001</v>
      </c>
      <c r="F211" s="1759">
        <v>0.1</v>
      </c>
    </row>
    <row r="212" spans="1:6" ht="14.25" thickBot="1">
      <c r="A212" s="1753" t="s">
        <v>1412</v>
      </c>
      <c r="B212" s="1757" t="s">
        <v>2153</v>
      </c>
      <c r="C212" s="1758">
        <v>0.15</v>
      </c>
      <c r="D212" s="1758">
        <v>0.15</v>
      </c>
      <c r="E212" s="1758">
        <v>0.14799999999999999</v>
      </c>
      <c r="F212" s="1759">
        <v>0.13600000000000001</v>
      </c>
    </row>
    <row r="213" spans="1:6" ht="14.25" thickBot="1">
      <c r="A213" s="1753" t="s">
        <v>1412</v>
      </c>
      <c r="B213" s="1757" t="s">
        <v>1150</v>
      </c>
      <c r="C213" s="1758">
        <v>0.15</v>
      </c>
      <c r="D213" s="1758">
        <v>0.15</v>
      </c>
      <c r="E213" s="1758">
        <v>0.15</v>
      </c>
      <c r="F213" s="1759">
        <v>0.13800000000000001</v>
      </c>
    </row>
    <row r="214" spans="1:6" ht="14.25" thickBot="1">
      <c r="A214" s="1753" t="s">
        <v>1412</v>
      </c>
      <c r="B214" s="1757" t="s">
        <v>1162</v>
      </c>
      <c r="C214" s="1758">
        <v>9.0999999999999998E-2</v>
      </c>
      <c r="D214" s="1758">
        <v>0.09</v>
      </c>
      <c r="E214" s="1758">
        <v>9.1999999999999998E-2</v>
      </c>
      <c r="F214" s="1766"/>
    </row>
    <row r="215" spans="1:6" ht="14.25" thickBot="1">
      <c r="A215" s="1753" t="s">
        <v>1412</v>
      </c>
      <c r="B215" s="1757" t="s">
        <v>2154</v>
      </c>
      <c r="C215" s="1758">
        <v>0.15</v>
      </c>
      <c r="D215" s="1758">
        <v>0.15</v>
      </c>
      <c r="E215" s="1758">
        <v>0.15</v>
      </c>
      <c r="F215" s="1759">
        <v>0.15</v>
      </c>
    </row>
    <row r="216" spans="1:6" ht="14.25" thickBot="1">
      <c r="A216" s="1753" t="s">
        <v>1412</v>
      </c>
      <c r="B216" s="1757" t="s">
        <v>1182</v>
      </c>
      <c r="C216" s="1758">
        <v>0.14699999999999999</v>
      </c>
      <c r="D216" s="1758">
        <v>0.14699999999999999</v>
      </c>
      <c r="E216" s="1758">
        <v>0.15</v>
      </c>
      <c r="F216" s="1759">
        <v>0.14000000000000001</v>
      </c>
    </row>
    <row r="217" spans="1:6" ht="14.25" thickBot="1">
      <c r="A217" s="1753" t="s">
        <v>1412</v>
      </c>
      <c r="B217" s="1757" t="s">
        <v>1192</v>
      </c>
      <c r="C217" s="1758">
        <v>0.15</v>
      </c>
      <c r="D217" s="1758">
        <v>0.15</v>
      </c>
      <c r="E217" s="1758">
        <v>0.15</v>
      </c>
      <c r="F217" s="1759">
        <v>0.15</v>
      </c>
    </row>
    <row r="218" spans="1:6" ht="14.25" thickBot="1">
      <c r="A218" s="1753" t="s">
        <v>1412</v>
      </c>
      <c r="B218" s="1757" t="s">
        <v>2155</v>
      </c>
      <c r="C218" s="1758">
        <v>0.15</v>
      </c>
      <c r="D218" s="1758">
        <v>0.15</v>
      </c>
      <c r="E218" s="1758">
        <v>0.15</v>
      </c>
      <c r="F218" s="1759">
        <v>0.15</v>
      </c>
    </row>
    <row r="219" spans="1:6" ht="14.25" thickBot="1">
      <c r="A219" s="1753" t="s">
        <v>1412</v>
      </c>
      <c r="B219" s="1757" t="s">
        <v>1212</v>
      </c>
      <c r="C219" s="1758">
        <v>0.15</v>
      </c>
      <c r="D219" s="1758">
        <v>0.15</v>
      </c>
      <c r="E219" s="1758">
        <v>0.15</v>
      </c>
      <c r="F219" s="1759">
        <v>0.14799999999999999</v>
      </c>
    </row>
    <row r="220" spans="1:6" ht="14.25" thickBot="1">
      <c r="A220" s="1753" t="s">
        <v>1412</v>
      </c>
      <c r="B220" s="1757" t="s">
        <v>2156</v>
      </c>
      <c r="C220" s="1758">
        <v>0.15</v>
      </c>
      <c r="D220" s="1758">
        <v>0.15</v>
      </c>
      <c r="E220" s="1758">
        <v>0.15</v>
      </c>
      <c r="F220" s="1759">
        <v>0.15</v>
      </c>
    </row>
    <row r="221" spans="1:6" ht="14.25" thickBot="1">
      <c r="A221" s="1753" t="s">
        <v>1412</v>
      </c>
      <c r="B221" s="1757" t="s">
        <v>1232</v>
      </c>
      <c r="C221" s="1758"/>
      <c r="D221" s="1767"/>
      <c r="E221" s="1767"/>
      <c r="F221" s="1759">
        <v>0.14799999999999999</v>
      </c>
    </row>
    <row r="222" spans="1:6" ht="14.25" thickBot="1">
      <c r="A222" s="1753" t="s">
        <v>1412</v>
      </c>
      <c r="B222" s="1757" t="s">
        <v>1242</v>
      </c>
      <c r="C222" s="1758"/>
      <c r="D222" s="1767"/>
      <c r="E222" s="1767"/>
      <c r="F222" s="1759">
        <v>0.1</v>
      </c>
    </row>
    <row r="223" spans="1:6" ht="14.25" thickBot="1">
      <c r="A223" s="1753" t="s">
        <v>1412</v>
      </c>
      <c r="B223" s="1757" t="s">
        <v>1252</v>
      </c>
      <c r="C223" s="1758"/>
      <c r="D223" s="1767"/>
      <c r="E223" s="1767"/>
      <c r="F223" s="1759">
        <v>0.15</v>
      </c>
    </row>
    <row r="224" spans="1:6" ht="14.25" thickBot="1">
      <c r="A224" s="1753" t="s">
        <v>1412</v>
      </c>
      <c r="B224" s="1757" t="s">
        <v>1262</v>
      </c>
      <c r="C224" s="1758"/>
      <c r="D224" s="1767"/>
      <c r="E224" s="1767"/>
      <c r="F224" s="1759">
        <v>0.15</v>
      </c>
    </row>
    <row r="225" spans="1:6" ht="14.25" thickBot="1">
      <c r="A225" s="1753" t="s">
        <v>1412</v>
      </c>
      <c r="B225" s="1757" t="s">
        <v>2157</v>
      </c>
      <c r="C225" s="1758">
        <v>0.15</v>
      </c>
      <c r="D225" s="1758">
        <v>0.15</v>
      </c>
      <c r="E225" s="1758">
        <v>0.15</v>
      </c>
      <c r="F225" s="1759">
        <v>0.15</v>
      </c>
    </row>
    <row r="226" spans="1:6" ht="14.25" thickBot="1">
      <c r="A226" s="1753" t="s">
        <v>1412</v>
      </c>
      <c r="B226" s="1757" t="s">
        <v>1280</v>
      </c>
      <c r="C226" s="1758">
        <v>0.15</v>
      </c>
      <c r="D226" s="1758">
        <v>0.15</v>
      </c>
      <c r="E226" s="1758">
        <v>0.15</v>
      </c>
      <c r="F226" s="1759">
        <v>0.14799999999999999</v>
      </c>
    </row>
    <row r="227" spans="1:6" ht="14.25" thickBot="1">
      <c r="A227" s="1753" t="s">
        <v>1412</v>
      </c>
      <c r="B227" s="1757" t="s">
        <v>2158</v>
      </c>
      <c r="C227" s="1758">
        <v>0.15</v>
      </c>
      <c r="D227" s="1758">
        <v>0.15</v>
      </c>
      <c r="E227" s="1758">
        <v>0.15</v>
      </c>
      <c r="F227" s="1759">
        <v>0.15</v>
      </c>
    </row>
    <row r="228" spans="1:6" ht="14.25" thickBot="1">
      <c r="A228" s="1753" t="s">
        <v>1412</v>
      </c>
      <c r="B228" s="1757" t="s">
        <v>1295</v>
      </c>
      <c r="C228" s="1758">
        <v>0.15</v>
      </c>
      <c r="D228" s="1758">
        <v>0.15</v>
      </c>
      <c r="E228" s="1758">
        <v>0.15</v>
      </c>
      <c r="F228" s="1759">
        <v>0.15</v>
      </c>
    </row>
    <row r="229" spans="1:6" ht="14.25" thickBot="1">
      <c r="A229" s="1753" t="s">
        <v>1412</v>
      </c>
      <c r="B229" s="1757" t="s">
        <v>1302</v>
      </c>
      <c r="C229" s="1758">
        <v>0.15</v>
      </c>
      <c r="D229" s="1758">
        <v>0.15</v>
      </c>
      <c r="E229" s="1758">
        <v>0.15</v>
      </c>
      <c r="F229" s="1766"/>
    </row>
    <row r="230" spans="1:6" ht="14.25" thickBot="1">
      <c r="A230" s="1753" t="s">
        <v>1412</v>
      </c>
      <c r="B230" s="1757" t="s">
        <v>1309</v>
      </c>
      <c r="C230" s="1758">
        <v>0.14499999999999999</v>
      </c>
      <c r="D230" s="1758">
        <v>0.14499999999999999</v>
      </c>
      <c r="E230" s="1758">
        <v>0.14399999999999999</v>
      </c>
      <c r="F230" s="1766"/>
    </row>
    <row r="231" spans="1:6" ht="14.25" thickBot="1">
      <c r="A231" s="1753" t="s">
        <v>1412</v>
      </c>
      <c r="B231" s="1757" t="s">
        <v>2159</v>
      </c>
      <c r="C231" s="1758">
        <v>0.128</v>
      </c>
      <c r="D231" s="1758">
        <v>0.125</v>
      </c>
      <c r="E231" s="1758">
        <v>0.13200000000000001</v>
      </c>
      <c r="F231" s="1766"/>
    </row>
    <row r="232" spans="1:6" ht="14.25" thickBot="1">
      <c r="A232" s="1753" t="s">
        <v>1412</v>
      </c>
      <c r="B232" s="1757" t="s">
        <v>2160</v>
      </c>
      <c r="C232" s="1758">
        <v>0.14499999999999999</v>
      </c>
      <c r="D232" s="1758">
        <v>0.14399999999999999</v>
      </c>
      <c r="E232" s="1758">
        <v>0.14599999999999999</v>
      </c>
      <c r="F232" s="1759">
        <v>0.13800000000000001</v>
      </c>
    </row>
    <row r="233" spans="1:6" ht="14.25" thickBot="1">
      <c r="A233" s="1753" t="s">
        <v>1412</v>
      </c>
      <c r="B233" s="1757" t="s">
        <v>2161</v>
      </c>
      <c r="C233" s="1758">
        <v>0.14499999999999999</v>
      </c>
      <c r="D233" s="1758">
        <v>0.14299999999999999</v>
      </c>
      <c r="E233" s="1758">
        <v>0.14199999999999999</v>
      </c>
      <c r="F233" s="1766"/>
    </row>
    <row r="234" spans="1:6" ht="14.25" thickBot="1">
      <c r="A234" s="1753" t="s">
        <v>1412</v>
      </c>
      <c r="B234" s="1757" t="s">
        <v>2162</v>
      </c>
      <c r="C234" s="1758">
        <v>0.14000000000000001</v>
      </c>
      <c r="D234" s="1758">
        <v>0.14000000000000001</v>
      </c>
      <c r="E234" s="1758">
        <v>0.14399999999999999</v>
      </c>
      <c r="F234" s="1766"/>
    </row>
    <row r="235" spans="1:6" ht="14.25" thickBot="1">
      <c r="A235" s="1753" t="s">
        <v>1412</v>
      </c>
      <c r="B235" s="1757" t="s">
        <v>2163</v>
      </c>
      <c r="C235" s="1758">
        <v>0.14099999999999999</v>
      </c>
      <c r="D235" s="1758">
        <v>0.14199999999999999</v>
      </c>
      <c r="E235" s="1758">
        <v>0.14499999999999999</v>
      </c>
      <c r="F235" s="1759">
        <v>0.15</v>
      </c>
    </row>
    <row r="236" spans="1:6" ht="14.25" thickBot="1">
      <c r="A236" s="1753" t="s">
        <v>1412</v>
      </c>
      <c r="B236" s="1757" t="s">
        <v>1344</v>
      </c>
      <c r="C236" s="1767"/>
      <c r="D236" s="1767"/>
      <c r="E236" s="1767"/>
      <c r="F236" s="1759">
        <v>0.14299999999999999</v>
      </c>
    </row>
    <row r="237" spans="1:6" ht="24.75" thickBot="1">
      <c r="A237" s="1753" t="s">
        <v>1412</v>
      </c>
      <c r="B237" s="1757" t="s">
        <v>2164</v>
      </c>
      <c r="C237" s="1767"/>
      <c r="D237" s="1767"/>
      <c r="E237" s="1767"/>
      <c r="F237" s="1759">
        <v>0.05</v>
      </c>
    </row>
    <row r="238" spans="1:6" ht="24.75" thickBot="1">
      <c r="A238" s="1753" t="s">
        <v>1412</v>
      </c>
      <c r="B238" s="1757" t="s">
        <v>2165</v>
      </c>
      <c r="C238" s="1767"/>
      <c r="D238" s="1767"/>
      <c r="E238" s="1767"/>
      <c r="F238" s="1759">
        <v>0.05</v>
      </c>
    </row>
    <row r="239" spans="1:6" ht="24.75" thickBot="1">
      <c r="A239" s="1753" t="s">
        <v>1412</v>
      </c>
      <c r="B239" s="1757" t="s">
        <v>2166</v>
      </c>
      <c r="C239" s="1767"/>
      <c r="D239" s="1767"/>
      <c r="E239" s="1767"/>
      <c r="F239" s="1759">
        <v>0.05</v>
      </c>
    </row>
    <row r="240" spans="1:6" ht="24.75" thickBot="1">
      <c r="A240" s="1753" t="s">
        <v>1412</v>
      </c>
      <c r="B240" s="1757" t="s">
        <v>2167</v>
      </c>
      <c r="C240" s="1767"/>
      <c r="D240" s="1767"/>
      <c r="E240" s="1767"/>
      <c r="F240" s="1759">
        <v>0.05</v>
      </c>
    </row>
    <row r="241" spans="1:6" ht="24.75" thickBot="1">
      <c r="A241" s="1753" t="s">
        <v>1412</v>
      </c>
      <c r="B241" s="1757" t="s">
        <v>2168</v>
      </c>
      <c r="C241" s="1767"/>
      <c r="D241" s="1767"/>
      <c r="E241" s="1767"/>
      <c r="F241" s="1759">
        <v>0.05</v>
      </c>
    </row>
    <row r="242" spans="1:6" ht="24.75" thickBot="1">
      <c r="A242" s="1753" t="s">
        <v>1412</v>
      </c>
      <c r="B242" s="1757" t="s">
        <v>2169</v>
      </c>
      <c r="C242" s="1767"/>
      <c r="D242" s="1767"/>
      <c r="E242" s="1767"/>
      <c r="F242" s="1759">
        <v>0.05</v>
      </c>
    </row>
    <row r="243" spans="1:6" ht="24.75" thickBot="1">
      <c r="A243" s="1753" t="s">
        <v>1412</v>
      </c>
      <c r="B243" s="1757" t="s">
        <v>2170</v>
      </c>
      <c r="C243" s="1767"/>
      <c r="D243" s="1767"/>
      <c r="E243" s="1767"/>
      <c r="F243" s="1759">
        <v>0.05</v>
      </c>
    </row>
    <row r="244" spans="1:6" ht="24.75" thickBot="1">
      <c r="A244" s="1761" t="s">
        <v>1412</v>
      </c>
      <c r="B244" s="1768" t="s">
        <v>2171</v>
      </c>
      <c r="C244" s="1764"/>
      <c r="D244" s="1764"/>
      <c r="E244" s="1764"/>
      <c r="F244" s="1769">
        <v>0.05</v>
      </c>
    </row>
    <row r="245" spans="1:6" ht="14.25" thickBot="1">
      <c r="A245" s="1753" t="s">
        <v>1414</v>
      </c>
      <c r="B245" s="1754" t="s">
        <v>2172</v>
      </c>
      <c r="C245" s="1755">
        <v>0.15</v>
      </c>
      <c r="D245" s="1755">
        <v>0.15</v>
      </c>
      <c r="E245" s="1755">
        <v>0.15</v>
      </c>
      <c r="F245" s="1756">
        <v>0.14299999999999999</v>
      </c>
    </row>
    <row r="246" spans="1:6" ht="14.25" thickBot="1">
      <c r="A246" s="1753" t="s">
        <v>1414</v>
      </c>
      <c r="B246" s="1757" t="s">
        <v>1077</v>
      </c>
      <c r="C246" s="1758">
        <v>0.15</v>
      </c>
      <c r="D246" s="1758">
        <v>0.15</v>
      </c>
      <c r="E246" s="1758">
        <v>0.15</v>
      </c>
      <c r="F246" s="1759">
        <v>0.114</v>
      </c>
    </row>
    <row r="247" spans="1:6" ht="14.25" thickBot="1">
      <c r="A247" s="1753" t="s">
        <v>1414</v>
      </c>
      <c r="B247" s="1757" t="s">
        <v>2173</v>
      </c>
      <c r="C247" s="1758">
        <v>0.15</v>
      </c>
      <c r="D247" s="1758">
        <v>0.15</v>
      </c>
      <c r="E247" s="1758">
        <v>0.15</v>
      </c>
      <c r="F247" s="1759">
        <v>0.15</v>
      </c>
    </row>
    <row r="248" spans="1:6" ht="14.25" thickBot="1">
      <c r="A248" s="1753" t="s">
        <v>1414</v>
      </c>
      <c r="B248" s="1757" t="s">
        <v>2174</v>
      </c>
      <c r="C248" s="1758">
        <v>0.15</v>
      </c>
      <c r="D248" s="1758">
        <v>0.15</v>
      </c>
      <c r="E248" s="1758">
        <v>0.15</v>
      </c>
      <c r="F248" s="1759">
        <v>0.14000000000000001</v>
      </c>
    </row>
    <row r="249" spans="1:6" ht="14.25" thickBot="1">
      <c r="A249" s="1753" t="s">
        <v>1414</v>
      </c>
      <c r="B249" s="1757" t="s">
        <v>2175</v>
      </c>
      <c r="C249" s="1758">
        <v>0.15</v>
      </c>
      <c r="D249" s="1758">
        <v>0.14899999999999999</v>
      </c>
      <c r="E249" s="1758">
        <v>0.15</v>
      </c>
      <c r="F249" s="1759">
        <v>0.1</v>
      </c>
    </row>
    <row r="250" spans="1:6" ht="14.25" thickBot="1">
      <c r="A250" s="1753" t="s">
        <v>1414</v>
      </c>
      <c r="B250" s="1757" t="s">
        <v>2176</v>
      </c>
      <c r="C250" s="1758">
        <v>0.15</v>
      </c>
      <c r="D250" s="1758">
        <v>0.15</v>
      </c>
      <c r="E250" s="1758">
        <v>0.15</v>
      </c>
      <c r="F250" s="1759">
        <v>0.14399999999999999</v>
      </c>
    </row>
    <row r="251" spans="1:6" ht="14.25" thickBot="1">
      <c r="A251" s="1753" t="s">
        <v>1414</v>
      </c>
      <c r="B251" s="1757" t="s">
        <v>1140</v>
      </c>
      <c r="C251" s="1758">
        <v>0.15</v>
      </c>
      <c r="D251" s="1758">
        <v>0.15</v>
      </c>
      <c r="E251" s="1758">
        <v>0.15</v>
      </c>
      <c r="F251" s="1759">
        <v>0.14299999999999999</v>
      </c>
    </row>
    <row r="252" spans="1:6" ht="14.25" thickBot="1">
      <c r="A252" s="1753" t="s">
        <v>1414</v>
      </c>
      <c r="B252" s="1757" t="s">
        <v>1151</v>
      </c>
      <c r="C252" s="1758">
        <v>0.15</v>
      </c>
      <c r="D252" s="1758">
        <v>0.15</v>
      </c>
      <c r="E252" s="1758">
        <v>0.15</v>
      </c>
      <c r="F252" s="1759">
        <v>0.1</v>
      </c>
    </row>
    <row r="253" spans="1:6" ht="14.25" thickBot="1">
      <c r="A253" s="1753" t="s">
        <v>1414</v>
      </c>
      <c r="B253" s="1757" t="s">
        <v>1163</v>
      </c>
      <c r="C253" s="1758">
        <v>0.15</v>
      </c>
      <c r="D253" s="1758">
        <v>0.15</v>
      </c>
      <c r="E253" s="1758">
        <v>0.15</v>
      </c>
      <c r="F253" s="1759">
        <v>0.1</v>
      </c>
    </row>
    <row r="254" spans="1:6" ht="14.25" thickBot="1">
      <c r="A254" s="1753" t="s">
        <v>1414</v>
      </c>
      <c r="B254" s="1757" t="s">
        <v>1173</v>
      </c>
      <c r="C254" s="1767"/>
      <c r="D254" s="1767"/>
      <c r="E254" s="1767"/>
      <c r="F254" s="1759">
        <v>0.15</v>
      </c>
    </row>
    <row r="255" spans="1:6" ht="14.25" thickBot="1">
      <c r="A255" s="1753" t="s">
        <v>1414</v>
      </c>
      <c r="B255" s="1757" t="s">
        <v>1183</v>
      </c>
      <c r="C255" s="1767"/>
      <c r="D255" s="1767"/>
      <c r="E255" s="1767"/>
      <c r="F255" s="1759">
        <v>0.14299999999999999</v>
      </c>
    </row>
    <row r="256" spans="1:6" ht="14.25" thickBot="1">
      <c r="A256" s="1753" t="s">
        <v>1414</v>
      </c>
      <c r="B256" s="1757" t="s">
        <v>2177</v>
      </c>
      <c r="C256" s="1758">
        <v>0.14599999999999999</v>
      </c>
      <c r="D256" s="1758">
        <v>0.14699999999999999</v>
      </c>
      <c r="E256" s="1758">
        <v>0.15</v>
      </c>
      <c r="F256" s="1759">
        <v>0.13200000000000001</v>
      </c>
    </row>
    <row r="257" spans="1:6" ht="14.25" thickBot="1">
      <c r="A257" s="1753" t="s">
        <v>1414</v>
      </c>
      <c r="B257" s="1757" t="s">
        <v>1203</v>
      </c>
      <c r="C257" s="1758">
        <v>0.15</v>
      </c>
      <c r="D257" s="1758">
        <v>0.15</v>
      </c>
      <c r="E257" s="1758">
        <v>0.15</v>
      </c>
      <c r="F257" s="1759">
        <v>0.13900000000000001</v>
      </c>
    </row>
    <row r="258" spans="1:6" ht="14.25" thickBot="1">
      <c r="A258" s="1753" t="s">
        <v>1414</v>
      </c>
      <c r="B258" s="1757" t="s">
        <v>1213</v>
      </c>
      <c r="C258" s="1758">
        <v>0.15</v>
      </c>
      <c r="D258" s="1758">
        <v>0.15</v>
      </c>
      <c r="E258" s="1758">
        <v>0.15</v>
      </c>
      <c r="F258" s="1759">
        <v>0.13</v>
      </c>
    </row>
    <row r="259" spans="1:6" ht="14.25" thickBot="1">
      <c r="A259" s="1753" t="s">
        <v>1414</v>
      </c>
      <c r="B259" s="1757" t="s">
        <v>2178</v>
      </c>
      <c r="C259" s="1758">
        <v>0.14799999999999999</v>
      </c>
      <c r="D259" s="1758">
        <v>0.14899999999999999</v>
      </c>
      <c r="E259" s="1758">
        <v>0.15</v>
      </c>
      <c r="F259" s="1759">
        <v>0.13700000000000001</v>
      </c>
    </row>
    <row r="260" spans="1:6" ht="14.25" thickBot="1">
      <c r="A260" s="1753" t="s">
        <v>1414</v>
      </c>
      <c r="B260" s="1757" t="s">
        <v>1233</v>
      </c>
      <c r="C260" s="1758">
        <v>0.15</v>
      </c>
      <c r="D260" s="1758">
        <v>0.15</v>
      </c>
      <c r="E260" s="1758">
        <v>0.15</v>
      </c>
      <c r="F260" s="1759">
        <v>0.14199999999999999</v>
      </c>
    </row>
    <row r="261" spans="1:6" ht="14.25" thickBot="1">
      <c r="A261" s="1753" t="s">
        <v>1414</v>
      </c>
      <c r="B261" s="1757" t="s">
        <v>1243</v>
      </c>
      <c r="C261" s="1758">
        <v>0.15</v>
      </c>
      <c r="D261" s="1758">
        <v>0.15</v>
      </c>
      <c r="E261" s="1758">
        <v>0.14899999999999999</v>
      </c>
      <c r="F261" s="1759">
        <v>0.14799999999999999</v>
      </c>
    </row>
    <row r="262" spans="1:6" ht="14.25" thickBot="1">
      <c r="A262" s="1753" t="s">
        <v>1414</v>
      </c>
      <c r="B262" s="1757" t="s">
        <v>1253</v>
      </c>
      <c r="C262" s="1758">
        <v>0.15</v>
      </c>
      <c r="D262" s="1758">
        <v>0.15</v>
      </c>
      <c r="E262" s="1758">
        <v>0.15</v>
      </c>
      <c r="F262" s="1766"/>
    </row>
    <row r="263" spans="1:6" ht="14.25" thickBot="1">
      <c r="A263" s="1753" t="s">
        <v>1414</v>
      </c>
      <c r="B263" s="1757" t="s">
        <v>2179</v>
      </c>
      <c r="C263" s="1758">
        <v>0.14899999999999999</v>
      </c>
      <c r="D263" s="1758">
        <v>0.14899999999999999</v>
      </c>
      <c r="E263" s="1758">
        <v>0.15</v>
      </c>
      <c r="F263" s="1759">
        <v>0.13</v>
      </c>
    </row>
    <row r="264" spans="1:6" ht="14.25" thickBot="1">
      <c r="A264" s="1753" t="s">
        <v>1414</v>
      </c>
      <c r="B264" s="1757" t="s">
        <v>1272</v>
      </c>
      <c r="C264" s="1758">
        <v>0.14799999999999999</v>
      </c>
      <c r="D264" s="1758">
        <v>0.14699999999999999</v>
      </c>
      <c r="E264" s="1758">
        <v>0.15</v>
      </c>
      <c r="F264" s="1759">
        <v>7.8E-2</v>
      </c>
    </row>
    <row r="265" spans="1:6" ht="14.25" thickBot="1">
      <c r="A265" s="1753" t="s">
        <v>1414</v>
      </c>
      <c r="B265" s="1757" t="s">
        <v>1281</v>
      </c>
      <c r="C265" s="1758">
        <v>0.15</v>
      </c>
      <c r="D265" s="1758">
        <v>0.15</v>
      </c>
      <c r="E265" s="1758">
        <v>0.15</v>
      </c>
      <c r="F265" s="1759">
        <v>7.3999999999999996E-2</v>
      </c>
    </row>
    <row r="266" spans="1:6" ht="14.25" thickBot="1">
      <c r="A266" s="1753" t="s">
        <v>1414</v>
      </c>
      <c r="B266" s="1757" t="s">
        <v>1289</v>
      </c>
      <c r="C266" s="1758">
        <v>0.14699999999999999</v>
      </c>
      <c r="D266" s="1758">
        <v>0.14699999999999999</v>
      </c>
      <c r="E266" s="1758">
        <v>0.15</v>
      </c>
      <c r="F266" s="1759">
        <v>0.14299999999999999</v>
      </c>
    </row>
    <row r="267" spans="1:6" ht="14.25" thickBot="1">
      <c r="A267" s="1753" t="s">
        <v>1414</v>
      </c>
      <c r="B267" s="1757" t="s">
        <v>1296</v>
      </c>
      <c r="C267" s="1758">
        <v>0.14199999999999999</v>
      </c>
      <c r="D267" s="1758">
        <v>0.14299999999999999</v>
      </c>
      <c r="E267" s="1758">
        <v>0.15</v>
      </c>
      <c r="F267" s="1766"/>
    </row>
    <row r="268" spans="1:6" ht="14.25" thickBot="1">
      <c r="A268" s="1753" t="s">
        <v>1414</v>
      </c>
      <c r="B268" s="1757" t="s">
        <v>2180</v>
      </c>
      <c r="C268" s="1758">
        <v>0.15</v>
      </c>
      <c r="D268" s="1758">
        <v>0.15</v>
      </c>
      <c r="E268" s="1758">
        <v>0.15</v>
      </c>
      <c r="F268" s="1759">
        <v>0.13</v>
      </c>
    </row>
    <row r="269" spans="1:6" ht="14.25" thickBot="1">
      <c r="A269" s="1753" t="s">
        <v>1414</v>
      </c>
      <c r="B269" s="1757" t="s">
        <v>1310</v>
      </c>
      <c r="C269" s="1758">
        <v>0.15</v>
      </c>
      <c r="D269" s="1758">
        <v>0.15</v>
      </c>
      <c r="E269" s="1758">
        <v>0.15</v>
      </c>
      <c r="F269" s="1759">
        <v>0.14299999999999999</v>
      </c>
    </row>
    <row r="270" spans="1:6" ht="14.25" thickBot="1">
      <c r="A270" s="1753" t="s">
        <v>1414</v>
      </c>
      <c r="B270" s="1757" t="s">
        <v>1317</v>
      </c>
      <c r="C270" s="1758">
        <v>0.14499999999999999</v>
      </c>
      <c r="D270" s="1758">
        <v>0.14499999999999999</v>
      </c>
      <c r="E270" s="1758">
        <v>0.15</v>
      </c>
      <c r="F270" s="1759">
        <v>0.14699999999999999</v>
      </c>
    </row>
    <row r="271" spans="1:6" ht="14.25" thickBot="1">
      <c r="A271" s="1753" t="s">
        <v>1414</v>
      </c>
      <c r="B271" s="1757" t="s">
        <v>1324</v>
      </c>
      <c r="C271" s="1758">
        <v>0.15</v>
      </c>
      <c r="D271" s="1758">
        <v>0.15</v>
      </c>
      <c r="E271" s="1758">
        <v>0.15</v>
      </c>
      <c r="F271" s="1759">
        <v>0.13800000000000001</v>
      </c>
    </row>
    <row r="272" spans="1:6" ht="14.25" thickBot="1">
      <c r="A272" s="1753" t="s">
        <v>1414</v>
      </c>
      <c r="B272" s="1757" t="s">
        <v>1331</v>
      </c>
      <c r="C272" s="1767"/>
      <c r="D272" s="1767"/>
      <c r="E272" s="1767"/>
      <c r="F272" s="1759">
        <v>0.14000000000000001</v>
      </c>
    </row>
    <row r="273" spans="1:6" ht="14.25" thickBot="1">
      <c r="A273" s="1753" t="s">
        <v>1414</v>
      </c>
      <c r="B273" s="1757" t="s">
        <v>2181</v>
      </c>
      <c r="C273" s="1758">
        <v>0.14199999999999999</v>
      </c>
      <c r="D273" s="1758">
        <v>0.14299999999999999</v>
      </c>
      <c r="E273" s="1758">
        <v>0.15</v>
      </c>
      <c r="F273" s="1759">
        <v>0.1</v>
      </c>
    </row>
    <row r="274" spans="1:6" ht="14.25" thickBot="1">
      <c r="A274" s="1753" t="s">
        <v>1414</v>
      </c>
      <c r="B274" s="1757" t="s">
        <v>2182</v>
      </c>
      <c r="C274" s="1758">
        <v>0.14799999999999999</v>
      </c>
      <c r="D274" s="1758">
        <v>0.14799999999999999</v>
      </c>
      <c r="E274" s="1758">
        <v>0.15</v>
      </c>
      <c r="F274" s="1759">
        <v>6.7000000000000004E-2</v>
      </c>
    </row>
    <row r="275" spans="1:6" ht="14.25" thickBot="1">
      <c r="A275" s="1753" t="s">
        <v>1414</v>
      </c>
      <c r="B275" s="1757" t="s">
        <v>2183</v>
      </c>
      <c r="C275" s="1758">
        <v>0.15</v>
      </c>
      <c r="D275" s="1758">
        <v>0.15</v>
      </c>
      <c r="E275" s="1758">
        <v>0.15</v>
      </c>
      <c r="F275" s="1759">
        <v>0.15</v>
      </c>
    </row>
    <row r="276" spans="1:6" ht="14.25" thickBot="1">
      <c r="A276" s="1753" t="s">
        <v>1414</v>
      </c>
      <c r="B276" s="1757" t="s">
        <v>2184</v>
      </c>
      <c r="C276" s="1758">
        <v>0.14499999999999999</v>
      </c>
      <c r="D276" s="1758">
        <v>0.14299999999999999</v>
      </c>
      <c r="E276" s="1758">
        <v>0.15</v>
      </c>
      <c r="F276" s="1759">
        <v>5.8999999999999997E-2</v>
      </c>
    </row>
    <row r="277" spans="1:6" ht="14.25" thickBot="1">
      <c r="A277" s="1753" t="s">
        <v>1414</v>
      </c>
      <c r="B277" s="1757" t="s">
        <v>2185</v>
      </c>
      <c r="C277" s="1758">
        <v>0.15</v>
      </c>
      <c r="D277" s="1758">
        <v>0.15</v>
      </c>
      <c r="E277" s="1758">
        <v>0.15</v>
      </c>
      <c r="F277" s="1759">
        <v>0.121</v>
      </c>
    </row>
    <row r="278" spans="1:6" ht="14.25" thickBot="1">
      <c r="A278" s="1753" t="s">
        <v>1414</v>
      </c>
      <c r="B278" s="1757" t="s">
        <v>2186</v>
      </c>
      <c r="C278" s="1758">
        <v>0.15</v>
      </c>
      <c r="D278" s="1758">
        <v>0.15</v>
      </c>
      <c r="E278" s="1758">
        <v>0.15</v>
      </c>
      <c r="F278" s="1759">
        <v>0.13800000000000001</v>
      </c>
    </row>
    <row r="279" spans="1:6" ht="24.75" thickBot="1">
      <c r="A279" s="1753" t="s">
        <v>1414</v>
      </c>
      <c r="B279" s="1757" t="s">
        <v>2187</v>
      </c>
      <c r="C279" s="1767"/>
      <c r="D279" s="1767"/>
      <c r="E279" s="1767"/>
      <c r="F279" s="1759">
        <v>0.05</v>
      </c>
    </row>
    <row r="280" spans="1:6" ht="24.75" thickBot="1">
      <c r="A280" s="1753" t="s">
        <v>1414</v>
      </c>
      <c r="B280" s="1757" t="s">
        <v>2188</v>
      </c>
      <c r="C280" s="1767"/>
      <c r="D280" s="1767"/>
      <c r="E280" s="1767"/>
      <c r="F280" s="1759">
        <v>0.05</v>
      </c>
    </row>
    <row r="281" spans="1:6" ht="24.75" thickBot="1">
      <c r="A281" s="1753" t="s">
        <v>1414</v>
      </c>
      <c r="B281" s="1757" t="s">
        <v>2189</v>
      </c>
      <c r="C281" s="1767"/>
      <c r="D281" s="1767"/>
      <c r="E281" s="1767"/>
      <c r="F281" s="1759">
        <v>0.05</v>
      </c>
    </row>
    <row r="282" spans="1:6" ht="24.75" thickBot="1">
      <c r="A282" s="1753" t="s">
        <v>1414</v>
      </c>
      <c r="B282" s="1757" t="s">
        <v>2190</v>
      </c>
      <c r="C282" s="1767"/>
      <c r="D282" s="1767"/>
      <c r="E282" s="1767"/>
      <c r="F282" s="1759">
        <v>0.05</v>
      </c>
    </row>
    <row r="283" spans="1:6" ht="24.75" thickBot="1">
      <c r="A283" s="1753" t="s">
        <v>1414</v>
      </c>
      <c r="B283" s="1757" t="s">
        <v>2191</v>
      </c>
      <c r="C283" s="1767"/>
      <c r="D283" s="1767"/>
      <c r="E283" s="1767"/>
      <c r="F283" s="1759">
        <v>0.05</v>
      </c>
    </row>
    <row r="284" spans="1:6" ht="24.75" thickBot="1">
      <c r="A284" s="1753" t="s">
        <v>1414</v>
      </c>
      <c r="B284" s="1757" t="s">
        <v>2192</v>
      </c>
      <c r="C284" s="1767"/>
      <c r="D284" s="1767"/>
      <c r="E284" s="1767"/>
      <c r="F284" s="1759">
        <v>0.05</v>
      </c>
    </row>
    <row r="285" spans="1:6" ht="24.75" thickBot="1">
      <c r="A285" s="1753" t="s">
        <v>1414</v>
      </c>
      <c r="B285" s="1757" t="s">
        <v>2193</v>
      </c>
      <c r="C285" s="1767"/>
      <c r="D285" s="1767"/>
      <c r="E285" s="1767"/>
      <c r="F285" s="1759">
        <v>0.05</v>
      </c>
    </row>
    <row r="286" spans="1:6" ht="24.75" thickBot="1">
      <c r="A286" s="1753" t="s">
        <v>1414</v>
      </c>
      <c r="B286" s="1757" t="s">
        <v>2194</v>
      </c>
      <c r="C286" s="1767"/>
      <c r="D286" s="1767"/>
      <c r="E286" s="1767"/>
      <c r="F286" s="1759">
        <v>0.05</v>
      </c>
    </row>
    <row r="287" spans="1:6" ht="24.75" thickBot="1">
      <c r="A287" s="1753" t="s">
        <v>1414</v>
      </c>
      <c r="B287" s="1757" t="s">
        <v>2195</v>
      </c>
      <c r="C287" s="1767"/>
      <c r="D287" s="1767"/>
      <c r="E287" s="1767"/>
      <c r="F287" s="1759">
        <v>0.05</v>
      </c>
    </row>
    <row r="288" spans="1:6" ht="24.75" thickBot="1">
      <c r="A288" s="1753" t="s">
        <v>1414</v>
      </c>
      <c r="B288" s="1757" t="s">
        <v>2196</v>
      </c>
      <c r="C288" s="1767"/>
      <c r="D288" s="1767"/>
      <c r="E288" s="1767"/>
      <c r="F288" s="1759">
        <v>0.05</v>
      </c>
    </row>
    <row r="289" spans="1:6" ht="24.75" thickBot="1">
      <c r="A289" s="1761" t="s">
        <v>1414</v>
      </c>
      <c r="B289" s="1768" t="s">
        <v>2197</v>
      </c>
      <c r="C289" s="1764"/>
      <c r="D289" s="1764"/>
      <c r="E289" s="1764"/>
      <c r="F289" s="1769">
        <v>0.05</v>
      </c>
    </row>
    <row r="290" spans="1:6" ht="14.25" thickBot="1">
      <c r="A290" s="1753" t="s">
        <v>1418</v>
      </c>
      <c r="B290" s="1754" t="s">
        <v>2198</v>
      </c>
      <c r="C290" s="1755">
        <v>0.15</v>
      </c>
      <c r="D290" s="1755">
        <v>0.15</v>
      </c>
      <c r="E290" s="1755">
        <v>0.15</v>
      </c>
      <c r="F290" s="1777"/>
    </row>
    <row r="291" spans="1:6" ht="14.25" thickBot="1">
      <c r="A291" s="1753" t="s">
        <v>1418</v>
      </c>
      <c r="B291" s="1757" t="s">
        <v>1078</v>
      </c>
      <c r="C291" s="1758">
        <v>0.15</v>
      </c>
      <c r="D291" s="1758">
        <v>0.15</v>
      </c>
      <c r="E291" s="1758">
        <v>0.15</v>
      </c>
      <c r="F291" s="1766"/>
    </row>
    <row r="292" spans="1:6" ht="14.25" thickBot="1">
      <c r="A292" s="1753" t="s">
        <v>1418</v>
      </c>
      <c r="B292" s="1757" t="s">
        <v>2199</v>
      </c>
      <c r="C292" s="1758">
        <v>0.15</v>
      </c>
      <c r="D292" s="1758">
        <v>0.15</v>
      </c>
      <c r="E292" s="1758">
        <v>0.15</v>
      </c>
      <c r="F292" s="1759">
        <v>0.14699999999999999</v>
      </c>
    </row>
    <row r="293" spans="1:6" ht="14.25" thickBot="1">
      <c r="A293" s="1753" t="s">
        <v>1418</v>
      </c>
      <c r="B293" s="1757" t="s">
        <v>2200</v>
      </c>
      <c r="C293" s="1767"/>
      <c r="D293" s="1767"/>
      <c r="E293" s="1767"/>
      <c r="F293" s="1759">
        <v>0.1</v>
      </c>
    </row>
    <row r="294" spans="1:6" ht="14.25" thickBot="1">
      <c r="A294" s="1753" t="s">
        <v>1418</v>
      </c>
      <c r="B294" s="1757" t="s">
        <v>2201</v>
      </c>
      <c r="C294" s="1758">
        <v>0.15</v>
      </c>
      <c r="D294" s="1758">
        <v>0.15</v>
      </c>
      <c r="E294" s="1758">
        <v>0.15</v>
      </c>
      <c r="F294" s="1759">
        <v>0.15</v>
      </c>
    </row>
    <row r="295" spans="1:6" ht="14.25" thickBot="1">
      <c r="A295" s="1753" t="s">
        <v>1418</v>
      </c>
      <c r="B295" s="1757" t="s">
        <v>1119</v>
      </c>
      <c r="C295" s="1758">
        <v>0.15</v>
      </c>
      <c r="D295" s="1758">
        <v>0.15</v>
      </c>
      <c r="E295" s="1758">
        <v>0.15</v>
      </c>
      <c r="F295" s="1759">
        <v>0.15</v>
      </c>
    </row>
    <row r="296" spans="1:6" ht="14.25" thickBot="1">
      <c r="A296" s="1753" t="s">
        <v>1418</v>
      </c>
      <c r="B296" s="1757" t="s">
        <v>2202</v>
      </c>
      <c r="C296" s="1758">
        <v>0.15</v>
      </c>
      <c r="D296" s="1758">
        <v>0.15</v>
      </c>
      <c r="E296" s="1758">
        <v>0.15</v>
      </c>
      <c r="F296" s="1759">
        <v>0.15</v>
      </c>
    </row>
    <row r="297" spans="1:6" ht="14.25" thickBot="1">
      <c r="A297" s="1753" t="s">
        <v>1418</v>
      </c>
      <c r="B297" s="1757" t="s">
        <v>2203</v>
      </c>
      <c r="C297" s="1758">
        <v>0.14799999999999999</v>
      </c>
      <c r="D297" s="1758">
        <v>0.14899999999999999</v>
      </c>
      <c r="E297" s="1758">
        <v>0.15</v>
      </c>
      <c r="F297" s="1759">
        <v>0.13700000000000001</v>
      </c>
    </row>
    <row r="298" spans="1:6" ht="14.25" thickBot="1">
      <c r="A298" s="1753" t="s">
        <v>1418</v>
      </c>
      <c r="B298" s="1757" t="s">
        <v>1152</v>
      </c>
      <c r="C298" s="1758">
        <v>0.13400000000000001</v>
      </c>
      <c r="D298" s="1758">
        <v>0.13400000000000001</v>
      </c>
      <c r="E298" s="1758">
        <v>0.14499999999999999</v>
      </c>
      <c r="F298" s="1759">
        <v>0.14799999999999999</v>
      </c>
    </row>
    <row r="299" spans="1:6" ht="14.25" thickBot="1">
      <c r="A299" s="1753" t="s">
        <v>1418</v>
      </c>
      <c r="B299" s="1757" t="s">
        <v>1164</v>
      </c>
      <c r="C299" s="1758">
        <v>0.15</v>
      </c>
      <c r="D299" s="1758">
        <v>0.15</v>
      </c>
      <c r="E299" s="1758">
        <v>0.15</v>
      </c>
      <c r="F299" s="1766"/>
    </row>
    <row r="300" spans="1:6" ht="14.25" thickBot="1">
      <c r="A300" s="1753" t="s">
        <v>1418</v>
      </c>
      <c r="B300" s="1757" t="s">
        <v>2204</v>
      </c>
      <c r="C300" s="1758">
        <v>0.15</v>
      </c>
      <c r="D300" s="1758">
        <v>0.15</v>
      </c>
      <c r="E300" s="1758">
        <v>0.15</v>
      </c>
      <c r="F300" s="1759">
        <v>0.15</v>
      </c>
    </row>
    <row r="301" spans="1:6" ht="14.25" thickBot="1">
      <c r="A301" s="1753" t="s">
        <v>1418</v>
      </c>
      <c r="B301" s="1757" t="s">
        <v>1184</v>
      </c>
      <c r="C301" s="1758">
        <v>0.15</v>
      </c>
      <c r="D301" s="1758">
        <v>0.15</v>
      </c>
      <c r="E301" s="1758">
        <v>0.15</v>
      </c>
      <c r="F301" s="1766"/>
    </row>
    <row r="302" spans="1:6" ht="14.25" thickBot="1">
      <c r="A302" s="1753" t="s">
        <v>1418</v>
      </c>
      <c r="B302" s="1757" t="s">
        <v>2205</v>
      </c>
      <c r="C302" s="1758">
        <v>0.15</v>
      </c>
      <c r="D302" s="1758">
        <v>0.15</v>
      </c>
      <c r="E302" s="1758">
        <v>0.15</v>
      </c>
      <c r="F302" s="1759">
        <v>0.15</v>
      </c>
    </row>
    <row r="303" spans="1:6" ht="14.25" thickBot="1">
      <c r="A303" s="1753" t="s">
        <v>1418</v>
      </c>
      <c r="B303" s="1757" t="s">
        <v>1204</v>
      </c>
      <c r="C303" s="1758">
        <v>0.15</v>
      </c>
      <c r="D303" s="1758">
        <v>0.15</v>
      </c>
      <c r="E303" s="1758">
        <v>0.15</v>
      </c>
      <c r="F303" s="1759">
        <v>0.15</v>
      </c>
    </row>
    <row r="304" spans="1:6" ht="14.25" thickBot="1">
      <c r="A304" s="1753" t="s">
        <v>1418</v>
      </c>
      <c r="B304" s="1757" t="s">
        <v>1214</v>
      </c>
      <c r="C304" s="1758">
        <v>0.15</v>
      </c>
      <c r="D304" s="1758">
        <v>0.15</v>
      </c>
      <c r="E304" s="1758">
        <v>0.15</v>
      </c>
      <c r="F304" s="1766"/>
    </row>
    <row r="305" spans="1:6" ht="14.25" thickBot="1">
      <c r="A305" s="1753" t="s">
        <v>1418</v>
      </c>
      <c r="B305" s="1757" t="s">
        <v>2206</v>
      </c>
      <c r="C305" s="1758">
        <v>0.15</v>
      </c>
      <c r="D305" s="1758">
        <v>0.15</v>
      </c>
      <c r="E305" s="1758">
        <v>0.15</v>
      </c>
      <c r="F305" s="1759">
        <v>0.14000000000000001</v>
      </c>
    </row>
    <row r="306" spans="1:6" ht="14.25" thickBot="1">
      <c r="A306" s="1753" t="s">
        <v>1418</v>
      </c>
      <c r="B306" s="1757" t="s">
        <v>1234</v>
      </c>
      <c r="C306" s="1758">
        <v>0.15</v>
      </c>
      <c r="D306" s="1758">
        <v>0.15</v>
      </c>
      <c r="E306" s="1758">
        <v>0.15</v>
      </c>
      <c r="F306" s="1766"/>
    </row>
    <row r="307" spans="1:6" ht="14.25" thickBot="1">
      <c r="A307" s="1753" t="s">
        <v>1418</v>
      </c>
      <c r="B307" s="1757" t="s">
        <v>2207</v>
      </c>
      <c r="C307" s="1758">
        <v>0.15</v>
      </c>
      <c r="D307" s="1758">
        <v>0.15</v>
      </c>
      <c r="E307" s="1758">
        <v>0.15</v>
      </c>
      <c r="F307" s="1759">
        <v>0.14299999999999999</v>
      </c>
    </row>
    <row r="308" spans="1:6" ht="14.25" thickBot="1">
      <c r="A308" s="1753" t="s">
        <v>1418</v>
      </c>
      <c r="B308" s="1757" t="s">
        <v>1254</v>
      </c>
      <c r="C308" s="1758">
        <v>0.15</v>
      </c>
      <c r="D308" s="1758">
        <v>0.15</v>
      </c>
      <c r="E308" s="1758">
        <v>0.15</v>
      </c>
      <c r="F308" s="1759">
        <v>0.15</v>
      </c>
    </row>
    <row r="309" spans="1:6" ht="14.25" thickBot="1">
      <c r="A309" s="1753" t="s">
        <v>1418</v>
      </c>
      <c r="B309" s="1757" t="s">
        <v>1264</v>
      </c>
      <c r="C309" s="1758">
        <v>0.15</v>
      </c>
      <c r="D309" s="1758">
        <v>0.15</v>
      </c>
      <c r="E309" s="1758">
        <v>0.15</v>
      </c>
      <c r="F309" s="1766"/>
    </row>
    <row r="310" spans="1:6" ht="14.25" thickBot="1">
      <c r="A310" s="1753" t="s">
        <v>1418</v>
      </c>
      <c r="B310" s="1757" t="s">
        <v>2208</v>
      </c>
      <c r="C310" s="1758">
        <v>0.15</v>
      </c>
      <c r="D310" s="1758">
        <v>0.15</v>
      </c>
      <c r="E310" s="1758">
        <v>0.15</v>
      </c>
      <c r="F310" s="1759">
        <v>0.13700000000000001</v>
      </c>
    </row>
    <row r="311" spans="1:6" ht="14.25" thickBot="1">
      <c r="A311" s="1753" t="s">
        <v>1418</v>
      </c>
      <c r="B311" s="1757" t="s">
        <v>2209</v>
      </c>
      <c r="C311" s="1758">
        <v>0.15</v>
      </c>
      <c r="D311" s="1758">
        <v>0.15</v>
      </c>
      <c r="E311" s="1758">
        <v>0.15</v>
      </c>
      <c r="F311" s="1759">
        <v>0.15</v>
      </c>
    </row>
    <row r="312" spans="1:6" ht="14.25" thickBot="1">
      <c r="A312" s="1753" t="s">
        <v>1418</v>
      </c>
      <c r="B312" s="1757" t="s">
        <v>1290</v>
      </c>
      <c r="C312" s="1758">
        <v>0.15</v>
      </c>
      <c r="D312" s="1758">
        <v>0.15</v>
      </c>
      <c r="E312" s="1758">
        <v>0.15</v>
      </c>
      <c r="F312" s="1759">
        <v>0.1</v>
      </c>
    </row>
    <row r="313" spans="1:6" ht="14.25" thickBot="1">
      <c r="A313" s="1753" t="s">
        <v>1418</v>
      </c>
      <c r="B313" s="1757" t="s">
        <v>2210</v>
      </c>
      <c r="C313" s="1758">
        <v>0.15</v>
      </c>
      <c r="D313" s="1758">
        <v>0.15</v>
      </c>
      <c r="E313" s="1758">
        <v>0.15</v>
      </c>
      <c r="F313" s="1759">
        <v>0.15</v>
      </c>
    </row>
    <row r="314" spans="1:6" ht="24.75" thickBot="1">
      <c r="A314" s="1753" t="s">
        <v>1418</v>
      </c>
      <c r="B314" s="1757" t="s">
        <v>2211</v>
      </c>
      <c r="C314" s="1767"/>
      <c r="D314" s="1767"/>
      <c r="E314" s="1767"/>
      <c r="F314" s="1759">
        <v>0.05</v>
      </c>
    </row>
    <row r="315" spans="1:6" ht="24.75" thickBot="1">
      <c r="A315" s="1753" t="s">
        <v>1418</v>
      </c>
      <c r="B315" s="1757" t="s">
        <v>2212</v>
      </c>
      <c r="C315" s="1767"/>
      <c r="D315" s="1767"/>
      <c r="E315" s="1767"/>
      <c r="F315" s="1759">
        <v>0.05</v>
      </c>
    </row>
    <row r="316" spans="1:6" ht="24.75" thickBot="1">
      <c r="A316" s="1761" t="s">
        <v>1418</v>
      </c>
      <c r="B316" s="1768" t="s">
        <v>2213</v>
      </c>
      <c r="C316" s="1764"/>
      <c r="D316" s="1764"/>
      <c r="E316" s="1764"/>
      <c r="F316" s="1769">
        <v>0.05</v>
      </c>
    </row>
    <row r="317" spans="1:6" ht="14.25" thickBot="1">
      <c r="A317" s="1753" t="s">
        <v>2214</v>
      </c>
      <c r="B317" s="1754" t="s">
        <v>2215</v>
      </c>
      <c r="C317" s="1755">
        <v>0.15</v>
      </c>
      <c r="D317" s="1755">
        <v>0.15</v>
      </c>
      <c r="E317" s="1755">
        <v>0.15</v>
      </c>
      <c r="F317" s="1756">
        <v>0.15</v>
      </c>
    </row>
    <row r="318" spans="1:6" ht="14.25" thickBot="1">
      <c r="A318" s="1753" t="s">
        <v>2214</v>
      </c>
      <c r="B318" s="1757" t="s">
        <v>2216</v>
      </c>
      <c r="C318" s="1758">
        <v>0.107</v>
      </c>
      <c r="D318" s="1758">
        <v>0.11</v>
      </c>
      <c r="E318" s="1758">
        <v>0.112</v>
      </c>
      <c r="F318" s="1766"/>
    </row>
    <row r="319" spans="1:6" ht="14.25" thickBot="1">
      <c r="A319" s="1753" t="s">
        <v>2214</v>
      </c>
      <c r="B319" s="1757" t="s">
        <v>2217</v>
      </c>
      <c r="C319" s="1758">
        <v>0.15</v>
      </c>
      <c r="D319" s="1758">
        <v>0.15</v>
      </c>
      <c r="E319" s="1758">
        <v>0.15</v>
      </c>
      <c r="F319" s="1759">
        <v>0.15</v>
      </c>
    </row>
    <row r="320" spans="1:6" ht="14.25" thickBot="1">
      <c r="A320" s="1753" t="s">
        <v>2214</v>
      </c>
      <c r="B320" s="1757" t="s">
        <v>1106</v>
      </c>
      <c r="C320" s="1758">
        <v>0.15</v>
      </c>
      <c r="D320" s="1758">
        <v>0.15</v>
      </c>
      <c r="E320" s="1758">
        <v>0.15</v>
      </c>
      <c r="F320" s="1766"/>
    </row>
    <row r="321" spans="1:6" ht="14.25" thickBot="1">
      <c r="A321" s="1753" t="s">
        <v>2214</v>
      </c>
      <c r="B321" s="1757" t="s">
        <v>2218</v>
      </c>
      <c r="C321" s="1758">
        <v>0.15</v>
      </c>
      <c r="D321" s="1758">
        <v>0.15</v>
      </c>
      <c r="E321" s="1758">
        <v>0.15</v>
      </c>
      <c r="F321" s="1766"/>
    </row>
    <row r="322" spans="1:6" ht="14.25" thickBot="1">
      <c r="A322" s="1753" t="s">
        <v>2214</v>
      </c>
      <c r="B322" s="1757" t="s">
        <v>2219</v>
      </c>
      <c r="C322" s="1758">
        <v>0.15</v>
      </c>
      <c r="D322" s="1758">
        <v>0.15</v>
      </c>
      <c r="E322" s="1758">
        <v>0.15</v>
      </c>
      <c r="F322" s="1759">
        <v>0.15</v>
      </c>
    </row>
    <row r="323" spans="1:6" ht="14.25" thickBot="1">
      <c r="A323" s="1753" t="s">
        <v>2214</v>
      </c>
      <c r="B323" s="1757" t="s">
        <v>2220</v>
      </c>
      <c r="C323" s="1758">
        <v>0.15</v>
      </c>
      <c r="D323" s="1758">
        <v>0.15</v>
      </c>
      <c r="E323" s="1758">
        <v>0.15</v>
      </c>
      <c r="F323" s="1766"/>
    </row>
    <row r="324" spans="1:6" ht="14.25" thickBot="1">
      <c r="A324" s="1753" t="s">
        <v>2214</v>
      </c>
      <c r="B324" s="1757" t="s">
        <v>2221</v>
      </c>
      <c r="C324" s="1758">
        <v>0.15</v>
      </c>
      <c r="D324" s="1758">
        <v>0.15</v>
      </c>
      <c r="E324" s="1758">
        <v>0.15</v>
      </c>
      <c r="F324" s="1766"/>
    </row>
    <row r="325" spans="1:6" ht="14.25" thickBot="1">
      <c r="A325" s="1753" t="s">
        <v>2214</v>
      </c>
      <c r="B325" s="1757" t="s">
        <v>2222</v>
      </c>
      <c r="C325" s="1758">
        <v>0.15</v>
      </c>
      <c r="D325" s="1758">
        <v>0.15</v>
      </c>
      <c r="E325" s="1758">
        <v>0.15</v>
      </c>
      <c r="F325" s="1759">
        <v>0.14699999999999999</v>
      </c>
    </row>
    <row r="326" spans="1:6" ht="14.25" thickBot="1">
      <c r="A326" s="1753" t="s">
        <v>2214</v>
      </c>
      <c r="B326" s="1757" t="s">
        <v>1175</v>
      </c>
      <c r="C326" s="1758">
        <v>0.15</v>
      </c>
      <c r="D326" s="1758">
        <v>0.15</v>
      </c>
      <c r="E326" s="1758">
        <v>0.15</v>
      </c>
      <c r="F326" s="1766"/>
    </row>
    <row r="327" spans="1:6" ht="14.25" thickBot="1">
      <c r="A327" s="1753" t="s">
        <v>2214</v>
      </c>
      <c r="B327" s="1757" t="s">
        <v>2223</v>
      </c>
      <c r="C327" s="1758">
        <v>0.15</v>
      </c>
      <c r="D327" s="1758">
        <v>0.15</v>
      </c>
      <c r="E327" s="1758">
        <v>0.15</v>
      </c>
      <c r="F327" s="1759">
        <v>0.15</v>
      </c>
    </row>
    <row r="328" spans="1:6" ht="14.25" thickBot="1">
      <c r="A328" s="1753" t="s">
        <v>2214</v>
      </c>
      <c r="B328" s="1757" t="s">
        <v>1195</v>
      </c>
      <c r="C328" s="1758">
        <v>0.15</v>
      </c>
      <c r="D328" s="1758">
        <v>0.15</v>
      </c>
      <c r="E328" s="1758">
        <v>0.15</v>
      </c>
      <c r="F328" s="1759">
        <v>0.14099999999999999</v>
      </c>
    </row>
    <row r="329" spans="1:6" ht="14.25" thickBot="1">
      <c r="A329" s="1753" t="s">
        <v>2214</v>
      </c>
      <c r="B329" s="1757" t="s">
        <v>1205</v>
      </c>
      <c r="C329" s="1758">
        <v>0.15</v>
      </c>
      <c r="D329" s="1758">
        <v>0.15</v>
      </c>
      <c r="E329" s="1758">
        <v>0.15</v>
      </c>
      <c r="F329" s="1759">
        <v>0.15</v>
      </c>
    </row>
    <row r="330" spans="1:6" ht="14.25" thickBot="1">
      <c r="A330" s="1753" t="s">
        <v>2214</v>
      </c>
      <c r="B330" s="1757" t="s">
        <v>1215</v>
      </c>
      <c r="C330" s="1758">
        <v>0.15</v>
      </c>
      <c r="D330" s="1758">
        <v>0.15</v>
      </c>
      <c r="E330" s="1758">
        <v>0.15</v>
      </c>
      <c r="F330" s="1766"/>
    </row>
    <row r="331" spans="1:6" ht="14.25" thickBot="1">
      <c r="A331" s="1753" t="s">
        <v>2214</v>
      </c>
      <c r="B331" s="1757" t="s">
        <v>2224</v>
      </c>
      <c r="C331" s="1758">
        <v>0.15</v>
      </c>
      <c r="D331" s="1758">
        <v>0.15</v>
      </c>
      <c r="E331" s="1758">
        <v>0.15</v>
      </c>
      <c r="F331" s="1759">
        <v>0.15</v>
      </c>
    </row>
    <row r="332" spans="1:6" ht="14.25" thickBot="1">
      <c r="A332" s="1753" t="s">
        <v>2214</v>
      </c>
      <c r="B332" s="1757" t="s">
        <v>1235</v>
      </c>
      <c r="C332" s="1758">
        <v>0.15</v>
      </c>
      <c r="D332" s="1758">
        <v>0.15</v>
      </c>
      <c r="E332" s="1758">
        <v>0.15</v>
      </c>
      <c r="F332" s="1759">
        <v>0.15</v>
      </c>
    </row>
    <row r="333" spans="1:6" ht="14.25" thickBot="1">
      <c r="A333" s="1753" t="s">
        <v>2214</v>
      </c>
      <c r="B333" s="1757" t="s">
        <v>2225</v>
      </c>
      <c r="C333" s="1758">
        <v>0.15</v>
      </c>
      <c r="D333" s="1758">
        <v>0.15</v>
      </c>
      <c r="E333" s="1758">
        <v>0.15</v>
      </c>
      <c r="F333" s="1759">
        <v>0.14099999999999999</v>
      </c>
    </row>
    <row r="334" spans="1:6" ht="14.25" thickBot="1">
      <c r="A334" s="1753" t="s">
        <v>2214</v>
      </c>
      <c r="B334" s="1757" t="s">
        <v>1255</v>
      </c>
      <c r="C334" s="1758">
        <v>0.15</v>
      </c>
      <c r="D334" s="1758">
        <v>0.15</v>
      </c>
      <c r="E334" s="1758">
        <v>0.15</v>
      </c>
      <c r="F334" s="1759">
        <v>0.15</v>
      </c>
    </row>
    <row r="335" spans="1:6" ht="14.25" thickBot="1">
      <c r="A335" s="1753" t="s">
        <v>2214</v>
      </c>
      <c r="B335" s="1757" t="s">
        <v>1265</v>
      </c>
      <c r="C335" s="1758">
        <v>0.15</v>
      </c>
      <c r="D335" s="1758">
        <v>0.15</v>
      </c>
      <c r="E335" s="1758">
        <v>0.15</v>
      </c>
      <c r="F335" s="1766"/>
    </row>
    <row r="336" spans="1:6" ht="14.25" thickBot="1">
      <c r="A336" s="1753" t="s">
        <v>2214</v>
      </c>
      <c r="B336" s="1757" t="s">
        <v>2226</v>
      </c>
      <c r="C336" s="1758">
        <v>0.15</v>
      </c>
      <c r="D336" s="1758">
        <v>0.15</v>
      </c>
      <c r="E336" s="1758">
        <v>0.15</v>
      </c>
      <c r="F336" s="1759">
        <v>0.11799999999999999</v>
      </c>
    </row>
    <row r="337" spans="1:6" ht="14.25" thickBot="1">
      <c r="A337" s="1761" t="s">
        <v>2214</v>
      </c>
      <c r="B337" s="1768" t="s">
        <v>1283</v>
      </c>
      <c r="C337" s="1764"/>
      <c r="D337" s="1764"/>
      <c r="E337" s="1764"/>
      <c r="F337" s="1769">
        <v>0.14299999999999999</v>
      </c>
    </row>
    <row r="338" spans="1:6" ht="14.25" thickBot="1">
      <c r="A338" s="1753" t="s">
        <v>2227</v>
      </c>
      <c r="B338" s="1754" t="s">
        <v>2228</v>
      </c>
      <c r="C338" s="1755">
        <v>0.15</v>
      </c>
      <c r="D338" s="1755">
        <v>0.15</v>
      </c>
      <c r="E338" s="1755">
        <v>0.15</v>
      </c>
      <c r="F338" s="1777"/>
    </row>
    <row r="339" spans="1:6" ht="14.25" thickBot="1">
      <c r="A339" s="1753" t="s">
        <v>2227</v>
      </c>
      <c r="B339" s="1757" t="s">
        <v>2229</v>
      </c>
      <c r="C339" s="1758">
        <v>0.15</v>
      </c>
      <c r="D339" s="1758">
        <v>0.15</v>
      </c>
      <c r="E339" s="1758">
        <v>0.15</v>
      </c>
      <c r="F339" s="1766"/>
    </row>
    <row r="340" spans="1:6" ht="14.25" thickBot="1">
      <c r="A340" s="1753" t="s">
        <v>2227</v>
      </c>
      <c r="B340" s="1757" t="s">
        <v>2230</v>
      </c>
      <c r="C340" s="1758">
        <v>0.15</v>
      </c>
      <c r="D340" s="1758">
        <v>0.15</v>
      </c>
      <c r="E340" s="1758">
        <v>0.15</v>
      </c>
      <c r="F340" s="1766"/>
    </row>
    <row r="341" spans="1:6" ht="14.25" thickBot="1">
      <c r="A341" s="1753" t="s">
        <v>2231</v>
      </c>
      <c r="B341" s="1757" t="s">
        <v>2232</v>
      </c>
      <c r="C341" s="1758">
        <v>0.15</v>
      </c>
      <c r="D341" s="1758">
        <v>0.15</v>
      </c>
      <c r="E341" s="1758">
        <v>0.15</v>
      </c>
      <c r="F341" s="1759">
        <v>0.15</v>
      </c>
    </row>
    <row r="342" spans="1:6" ht="14.25" thickBot="1">
      <c r="A342" s="1753" t="s">
        <v>2227</v>
      </c>
      <c r="B342" s="1757" t="s">
        <v>2233</v>
      </c>
      <c r="C342" s="1758">
        <v>0.15</v>
      </c>
      <c r="D342" s="1758">
        <v>0.15</v>
      </c>
      <c r="E342" s="1758">
        <v>0.15</v>
      </c>
      <c r="F342" s="1759">
        <v>0.15</v>
      </c>
    </row>
    <row r="343" spans="1:6" ht="14.25" thickBot="1">
      <c r="A343" s="1753" t="s">
        <v>2227</v>
      </c>
      <c r="B343" s="1757" t="s">
        <v>2234</v>
      </c>
      <c r="C343" s="1758">
        <v>0.15</v>
      </c>
      <c r="D343" s="1758">
        <v>0.15</v>
      </c>
      <c r="E343" s="1758">
        <v>0.15</v>
      </c>
      <c r="F343" s="1759">
        <v>0.15</v>
      </c>
    </row>
    <row r="344" spans="1:6" ht="14.25" thickBot="1">
      <c r="A344" s="1761" t="s">
        <v>2227</v>
      </c>
      <c r="B344" s="1768" t="s">
        <v>2235</v>
      </c>
      <c r="C344" s="1763">
        <v>0.15</v>
      </c>
      <c r="D344" s="1763">
        <v>0.15</v>
      </c>
      <c r="E344" s="1763">
        <v>0.15</v>
      </c>
      <c r="F344" s="17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7" t="s">
        <v>2939</v>
      </c>
      <c r="B1" s="3019"/>
      <c r="C1" s="3019"/>
      <c r="D1" s="3019"/>
      <c r="E1" s="3019"/>
      <c r="F1" s="3019"/>
    </row>
    <row r="2" spans="1:6" ht="14.25">
      <c r="A2" s="3020" t="s">
        <v>2933</v>
      </c>
      <c r="B2" s="3021" t="e">
        <f ca="1">SUMIF(B7:B14,"&lt;&gt;#ref!",B7:B14)</f>
        <v>#DIV/0!</v>
      </c>
      <c r="C2" s="3020" t="s">
        <v>2934</v>
      </c>
      <c r="D2" s="3019"/>
      <c r="E2" s="3019"/>
      <c r="F2" s="3019"/>
    </row>
    <row r="3" spans="1:6" ht="14.25">
      <c r="A3" s="3020" t="s">
        <v>2936</v>
      </c>
      <c r="B3" s="3021" t="e">
        <f ca="1">ROUND(B2*10000/E3,0)</f>
        <v>#DIV/0!</v>
      </c>
      <c r="C3" s="3020" t="s">
        <v>2076</v>
      </c>
      <c r="D3" s="3020" t="s">
        <v>2935</v>
      </c>
      <c r="E3" s="3021" t="e">
        <f ca="1">SUM(E7:E14)</f>
        <v>#REF!</v>
      </c>
      <c r="F3" s="3019"/>
    </row>
    <row r="4" spans="1:6" ht="14.25">
      <c r="A4" s="3020" t="s">
        <v>2943</v>
      </c>
      <c r="B4" s="3021" t="e">
        <f ca="1">ROUND(B2*10000/E4,0)</f>
        <v>#DIV/0!</v>
      </c>
      <c r="C4" s="3020" t="s">
        <v>2076</v>
      </c>
      <c r="D4" s="3020" t="s">
        <v>2944</v>
      </c>
      <c r="E4" s="3021" t="e">
        <f ca="1">SUM(F7:F14)</f>
        <v>#REF!</v>
      </c>
      <c r="F4" s="3019"/>
    </row>
    <row r="5" spans="1:6" ht="14.25">
      <c r="A5" s="3022"/>
      <c r="B5" s="1779"/>
      <c r="C5" s="1779"/>
      <c r="D5" s="1779"/>
      <c r="E5" s="1779"/>
      <c r="F5" s="3019"/>
    </row>
    <row r="6" spans="1:6" ht="28.5">
      <c r="A6" s="3023" t="s">
        <v>2940</v>
      </c>
      <c r="B6" s="3020" t="s">
        <v>2937</v>
      </c>
      <c r="C6" s="3021"/>
      <c r="D6" s="1779"/>
      <c r="E6" s="3020" t="s">
        <v>2938</v>
      </c>
      <c r="F6" s="3020" t="s">
        <v>2942</v>
      </c>
    </row>
    <row r="7" spans="1:6" ht="14.25">
      <c r="A7" s="260" t="s">
        <v>2941</v>
      </c>
      <c r="B7" s="3024" t="e">
        <f ca="1">SUMIF(INDIRECT("'"&amp;A7&amp;"'"&amp;"!A:A"),"总价",INDIRECT("'"&amp;A7&amp;"'"&amp;"!B:B"))</f>
        <v>#DIV/0!</v>
      </c>
      <c r="C7" s="3020" t="s">
        <v>2934</v>
      </c>
      <c r="D7" s="1779"/>
      <c r="E7" s="3025">
        <f ca="1">SUMIF(INDIRECT("'"&amp;A7&amp;"'"&amp;"!C:C"),"建筑面积",INDIRECT("'"&amp;A7&amp;"'"&amp;"!D:D"))</f>
        <v>0</v>
      </c>
      <c r="F7" s="3025">
        <f ca="1">SUMIF(INDIRECT("'"&amp;A7&amp;"'"&amp;"!E:E"),"土地面积",INDIRECT("'"&amp;A7&amp;"'"&amp;"!F:F"))</f>
        <v>0</v>
      </c>
    </row>
    <row r="8" spans="1:6" ht="14.25">
      <c r="A8" s="260"/>
      <c r="B8" s="3024" t="e">
        <f t="shared" ref="B8:B14" ca="1" si="0">SUMIF(INDIRECT("'"&amp;A8&amp;"'"&amp;"!A:A"),"总价",INDIRECT("'"&amp;A8&amp;"'"&amp;"!B:B"))</f>
        <v>#REF!</v>
      </c>
      <c r="C8" s="3020" t="s">
        <v>2934</v>
      </c>
      <c r="D8" s="1779"/>
      <c r="E8" s="3025" t="e">
        <f t="shared" ref="E8:E14" ca="1" si="1">SUMIF(INDIRECT("'"&amp;A8&amp;"'"&amp;"!C:C"),"建筑面积",INDIRECT("'"&amp;A8&amp;"'"&amp;"!D:D"))</f>
        <v>#REF!</v>
      </c>
      <c r="F8" s="3025" t="e">
        <f t="shared" ref="F8:F14" ca="1" si="2">SUMIF(INDIRECT("'"&amp;A8&amp;"'"&amp;"!E:E"),"土地面积",INDIRECT("'"&amp;A8&amp;"'"&amp;"!F:F"))</f>
        <v>#REF!</v>
      </c>
    </row>
    <row r="9" spans="1:6" ht="14.25">
      <c r="A9" s="260"/>
      <c r="B9" s="3024" t="e">
        <f t="shared" ca="1" si="0"/>
        <v>#REF!</v>
      </c>
      <c r="C9" s="3020" t="s">
        <v>2934</v>
      </c>
      <c r="D9" s="1779"/>
      <c r="E9" s="3025" t="e">
        <f t="shared" ca="1" si="1"/>
        <v>#REF!</v>
      </c>
      <c r="F9" s="3025" t="e">
        <f t="shared" ca="1" si="2"/>
        <v>#REF!</v>
      </c>
    </row>
    <row r="10" spans="1:6" ht="14.25">
      <c r="A10" s="260"/>
      <c r="B10" s="3024" t="e">
        <f t="shared" ca="1" si="0"/>
        <v>#REF!</v>
      </c>
      <c r="C10" s="3020" t="s">
        <v>2934</v>
      </c>
      <c r="D10" s="1779"/>
      <c r="E10" s="3025" t="e">
        <f t="shared" ca="1" si="1"/>
        <v>#REF!</v>
      </c>
      <c r="F10" s="3025" t="e">
        <f t="shared" ca="1" si="2"/>
        <v>#REF!</v>
      </c>
    </row>
    <row r="11" spans="1:6" ht="14.25">
      <c r="A11" s="260"/>
      <c r="B11" s="3024" t="e">
        <f t="shared" ca="1" si="0"/>
        <v>#REF!</v>
      </c>
      <c r="C11" s="3020" t="s">
        <v>2934</v>
      </c>
      <c r="D11" s="1779"/>
      <c r="E11" s="3025" t="e">
        <f t="shared" ca="1" si="1"/>
        <v>#REF!</v>
      </c>
      <c r="F11" s="3025" t="e">
        <f t="shared" ca="1" si="2"/>
        <v>#REF!</v>
      </c>
    </row>
    <row r="12" spans="1:6" ht="14.25">
      <c r="A12" s="260"/>
      <c r="B12" s="3024" t="e">
        <f t="shared" ca="1" si="0"/>
        <v>#REF!</v>
      </c>
      <c r="C12" s="3020" t="s">
        <v>2934</v>
      </c>
      <c r="D12" s="1779"/>
      <c r="E12" s="3025" t="e">
        <f t="shared" ca="1" si="1"/>
        <v>#REF!</v>
      </c>
      <c r="F12" s="3025" t="e">
        <f t="shared" ca="1" si="2"/>
        <v>#REF!</v>
      </c>
    </row>
    <row r="13" spans="1:6" ht="14.25">
      <c r="A13" s="260"/>
      <c r="B13" s="3024" t="e">
        <f t="shared" ca="1" si="0"/>
        <v>#REF!</v>
      </c>
      <c r="C13" s="3020" t="s">
        <v>2934</v>
      </c>
      <c r="D13" s="1779"/>
      <c r="E13" s="3025" t="e">
        <f t="shared" ca="1" si="1"/>
        <v>#REF!</v>
      </c>
      <c r="F13" s="3025" t="e">
        <f t="shared" ca="1" si="2"/>
        <v>#REF!</v>
      </c>
    </row>
    <row r="14" spans="1:6" ht="14.25">
      <c r="A14" s="3018"/>
      <c r="B14" s="3024" t="e">
        <f t="shared" ca="1" si="0"/>
        <v>#REF!</v>
      </c>
      <c r="C14" s="3020" t="s">
        <v>2934</v>
      </c>
      <c r="D14" s="1779"/>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772" t="s">
        <v>626</v>
      </c>
      <c r="B1" s="738"/>
      <c r="C1" s="773"/>
      <c r="D1" s="1948"/>
      <c r="E1" s="2308" t="s">
        <v>2370</v>
      </c>
      <c r="F1" s="2309">
        <f ca="1">J54</f>
        <v>0</v>
      </c>
      <c r="G1" s="774">
        <f>MATCH(C1,'数据-取费表'!A6:A16,0)+5</f>
        <v>8</v>
      </c>
      <c r="H1" s="1350"/>
      <c r="I1" s="1949"/>
      <c r="J1" s="1949"/>
      <c r="K1" s="1950"/>
      <c r="L1" s="1949"/>
      <c r="M1" s="1949"/>
      <c r="N1" s="1951"/>
      <c r="O1" s="1951"/>
      <c r="P1" s="1951"/>
      <c r="Q1" s="1951"/>
      <c r="R1" s="1951"/>
      <c r="S1" s="1951"/>
      <c r="T1" s="1951"/>
      <c r="U1" s="1951"/>
      <c r="V1" s="1951"/>
      <c r="W1" s="1951"/>
      <c r="X1" s="1951"/>
      <c r="Y1" s="1951"/>
    </row>
    <row r="2" spans="1:25" ht="18" customHeight="1">
      <c r="A2" s="1645" t="s">
        <v>627</v>
      </c>
      <c r="B2" s="775">
        <f ca="1">IF(ISERROR(C45+J31),0,C45+J31)</f>
        <v>0</v>
      </c>
      <c r="C2" s="1351"/>
      <c r="D2" s="1953"/>
      <c r="E2" s="1954"/>
      <c r="F2" s="1954"/>
      <c r="G2" s="1591"/>
      <c r="H2" s="1363"/>
      <c r="I2" s="1955"/>
      <c r="J2" s="1955"/>
      <c r="K2" s="1956"/>
      <c r="L2" s="1955"/>
      <c r="M2" s="1955"/>
    </row>
    <row r="3" spans="1:25" ht="18" customHeight="1">
      <c r="A3" s="1646" t="s">
        <v>1685</v>
      </c>
      <c r="B3" s="1392">
        <f ca="1">ROUND(B2*10000/'数据-汇总表'!E3,0)</f>
        <v>0</v>
      </c>
      <c r="C3" s="1351"/>
      <c r="D3" s="1953"/>
      <c r="E3" s="1954"/>
      <c r="F3" s="1954"/>
      <c r="G3" s="1591"/>
      <c r="H3" s="776" t="s">
        <v>693</v>
      </c>
      <c r="I3" s="1955"/>
      <c r="J3" s="1955"/>
      <c r="K3" s="1956"/>
      <c r="L3" s="1955"/>
      <c r="M3" s="1955"/>
    </row>
    <row r="4" spans="1:25" ht="18" customHeight="1">
      <c r="A4" s="1647" t="s">
        <v>694</v>
      </c>
      <c r="B4" s="1352">
        <f ca="1">ROUND(B2*10000/'数据-汇总表'!D3,0)</f>
        <v>0</v>
      </c>
      <c r="C4" s="428"/>
      <c r="D4" s="1953"/>
      <c r="E4" s="1954"/>
      <c r="F4" s="1954"/>
      <c r="G4" s="1591"/>
      <c r="H4" s="776"/>
      <c r="I4" s="1955"/>
      <c r="J4" s="1955"/>
      <c r="K4" s="1956"/>
      <c r="L4" s="1955"/>
      <c r="M4" s="1955"/>
    </row>
    <row r="5" spans="1:25" ht="18" customHeight="1" thickBot="1">
      <c r="A5" s="1648"/>
      <c r="B5" s="430">
        <f ca="1">ROUND(B2/('数据-汇总表'!D3/666.67),0)</f>
        <v>0</v>
      </c>
      <c r="C5" s="431" t="s">
        <v>695</v>
      </c>
      <c r="D5" s="1953"/>
      <c r="E5" s="1954"/>
      <c r="F5" s="1954"/>
      <c r="G5" s="1591"/>
      <c r="H5" s="776"/>
      <c r="I5" s="1955"/>
      <c r="J5" s="1955"/>
      <c r="K5" s="1956"/>
      <c r="L5" s="1955"/>
      <c r="M5" s="1955"/>
    </row>
    <row r="6" spans="1:25" ht="18" customHeight="1">
      <c r="A6" s="1733" t="s">
        <v>696</v>
      </c>
      <c r="B6" s="1725" t="s">
        <v>697</v>
      </c>
      <c r="C6" s="1725" t="s">
        <v>630</v>
      </c>
      <c r="D6" s="1725" t="s">
        <v>631</v>
      </c>
      <c r="E6" s="779" t="s">
        <v>632</v>
      </c>
      <c r="F6" s="780"/>
      <c r="G6" s="1593"/>
      <c r="H6" s="1733" t="s">
        <v>628</v>
      </c>
      <c r="I6" s="1725" t="s">
        <v>629</v>
      </c>
      <c r="J6" s="1725" t="s">
        <v>630</v>
      </c>
      <c r="K6" s="1725" t="s">
        <v>631</v>
      </c>
      <c r="L6" s="779" t="s">
        <v>632</v>
      </c>
      <c r="M6" s="780"/>
    </row>
    <row r="7" spans="1:25" ht="18" customHeight="1">
      <c r="A7" s="781">
        <v>1</v>
      </c>
      <c r="B7" s="782" t="s">
        <v>2454</v>
      </c>
      <c r="C7" s="53">
        <f ca="1">C8+C12+C14</f>
        <v>0</v>
      </c>
      <c r="D7" s="2415" t="s">
        <v>2457</v>
      </c>
      <c r="E7" s="2409"/>
      <c r="F7" s="2410"/>
      <c r="G7" s="1593"/>
      <c r="H7" s="781">
        <v>1</v>
      </c>
      <c r="I7" s="782" t="s">
        <v>2454</v>
      </c>
      <c r="J7" s="53">
        <f ca="1">J8+J12+J14</f>
        <v>0</v>
      </c>
      <c r="K7" s="2415" t="s">
        <v>2457</v>
      </c>
      <c r="L7" s="2409"/>
      <c r="M7" s="2410"/>
    </row>
    <row r="8" spans="1:25" ht="18" customHeight="1">
      <c r="A8" s="1735" t="s">
        <v>1823</v>
      </c>
      <c r="B8" s="3612" t="s">
        <v>2459</v>
      </c>
      <c r="C8" s="1730">
        <f ca="1">ROUND(F8*F10*F9*(1-F11)/10000,0)</f>
        <v>0</v>
      </c>
      <c r="D8" s="1727" t="s">
        <v>2531</v>
      </c>
      <c r="E8" s="61" t="s">
        <v>635</v>
      </c>
      <c r="F8" s="785">
        <f ca="1">INDIRECT("'数据-取费表'!u"&amp;$G$1)</f>
        <v>0</v>
      </c>
      <c r="G8" s="1593"/>
      <c r="H8" s="2423" t="s">
        <v>1823</v>
      </c>
      <c r="I8" s="3612" t="s">
        <v>2459</v>
      </c>
      <c r="J8" s="783">
        <f ca="1">ROUND(M8*M10*M9*(1-M11)/10000,0)</f>
        <v>0</v>
      </c>
      <c r="K8" s="341" t="s">
        <v>2531</v>
      </c>
      <c r="L8" s="784" t="s">
        <v>1737</v>
      </c>
      <c r="M8" s="785">
        <f ca="1">INDIRECT("'数据-取费表'!z"&amp;$G$1)</f>
        <v>0</v>
      </c>
    </row>
    <row r="9" spans="1:25" ht="18" customHeight="1">
      <c r="A9" s="2419"/>
      <c r="B9" s="3613"/>
      <c r="C9" s="1731"/>
      <c r="D9" s="1728"/>
      <c r="E9" s="61" t="s">
        <v>636</v>
      </c>
      <c r="F9" s="785">
        <f ca="1">IF(INDIRECT("'数据-取费表'!ah"&amp;$G$1)="",INDIRECT("'数据-取费表'!k"&amp;$G$1),INDIRECT("'数据-取费表'!ah"&amp;$G$1))</f>
        <v>0</v>
      </c>
      <c r="G9" s="1593"/>
      <c r="H9" s="2408"/>
      <c r="I9" s="3613"/>
      <c r="J9" s="788"/>
      <c r="K9" s="789"/>
      <c r="L9" s="784" t="s">
        <v>1738</v>
      </c>
      <c r="M9" s="785">
        <f ca="1">F9</f>
        <v>0</v>
      </c>
    </row>
    <row r="10" spans="1:25" ht="18" customHeight="1">
      <c r="A10" s="2412"/>
      <c r="B10" s="3614"/>
      <c r="C10" s="1731"/>
      <c r="D10" s="1728"/>
      <c r="E10" s="61" t="s">
        <v>637</v>
      </c>
      <c r="F10" s="785">
        <f ca="1">INDIRECT("'数据-取费表'!ai"&amp;$G$1)</f>
        <v>0</v>
      </c>
      <c r="G10" s="1593"/>
      <c r="H10" s="2408"/>
      <c r="I10" s="3614"/>
      <c r="J10" s="788"/>
      <c r="K10" s="789"/>
      <c r="L10" s="784" t="s">
        <v>1739</v>
      </c>
      <c r="M10" s="785">
        <f ca="1">INDIRECT("'数据-取费表'!ai"&amp;$G$1)</f>
        <v>0</v>
      </c>
    </row>
    <row r="11" spans="1:25" ht="18" customHeight="1">
      <c r="A11" s="786"/>
      <c r="B11" s="3615"/>
      <c r="C11" s="1731"/>
      <c r="D11" s="1728"/>
      <c r="E11" s="61" t="s">
        <v>638</v>
      </c>
      <c r="F11" s="794">
        <f ca="1">INDIRECT("'数据-取费表'!w"&amp;$G$1)</f>
        <v>0</v>
      </c>
      <c r="G11" s="1593"/>
      <c r="H11" s="2424"/>
      <c r="I11" s="3614"/>
      <c r="J11" s="788"/>
      <c r="K11" s="789"/>
      <c r="L11" s="795" t="s">
        <v>1740</v>
      </c>
      <c r="M11" s="796">
        <f ca="1">INDIRECT("'数据-取费表'!ab"&amp;$G$1)</f>
        <v>0</v>
      </c>
    </row>
    <row r="12" spans="1:25" ht="18" customHeight="1">
      <c r="A12" s="1735" t="s">
        <v>1824</v>
      </c>
      <c r="B12" s="2413" t="s">
        <v>2455</v>
      </c>
      <c r="C12" s="799">
        <f ca="1">ROUND(IF(F12="押一",F8*F10*F9/12*F13,IF(F12="押二",F8*F10*F9/12*2*F13,IF(F12="押三",F8*F10*F9/12*3*F13,C13*F13)))/10000,0)</f>
        <v>0</v>
      </c>
      <c r="D12" s="2420" t="s">
        <v>2462</v>
      </c>
      <c r="E12" s="2417" t="s">
        <v>2460</v>
      </c>
      <c r="F12" s="2540"/>
      <c r="G12" s="1593"/>
      <c r="H12" s="2480" t="s">
        <v>1824</v>
      </c>
      <c r="I12" s="2485" t="s">
        <v>2455</v>
      </c>
      <c r="J12" s="783">
        <f ca="1">ROUND(IF(M12="押一",M8*M10*M9/12*M13,IF(M12="押二",M8*M10*M9/12*2*M13,IF(M12="押三",M8*M10*M9/12*3*M13,J13*M13)))/10000,0)</f>
        <v>0</v>
      </c>
      <c r="K12" s="2420" t="s">
        <v>2462</v>
      </c>
      <c r="L12" s="2417" t="s">
        <v>2460</v>
      </c>
      <c r="M12" s="2540"/>
    </row>
    <row r="13" spans="1:25" ht="18" customHeight="1">
      <c r="A13" s="790"/>
      <c r="B13" s="2414" t="s">
        <v>2570</v>
      </c>
      <c r="C13" s="2418"/>
      <c r="D13" s="789"/>
      <c r="E13" s="2417" t="s">
        <v>2452</v>
      </c>
      <c r="F13" s="796">
        <f ca="1">'数据-取费表'!B39</f>
        <v>1.4999999999999999E-2</v>
      </c>
      <c r="G13" s="1593"/>
      <c r="H13" s="2481"/>
      <c r="I13" s="2414" t="s">
        <v>2570</v>
      </c>
      <c r="J13" s="2418"/>
      <c r="K13" s="2482"/>
      <c r="L13" s="2417" t="s">
        <v>2452</v>
      </c>
      <c r="M13" s="2411">
        <f ca="1">'数据-取费表'!B39</f>
        <v>1.4999999999999999E-2</v>
      </c>
    </row>
    <row r="14" spans="1:25" ht="18" customHeight="1" thickBot="1">
      <c r="A14" s="2456" t="s">
        <v>2464</v>
      </c>
      <c r="B14" s="2457" t="s">
        <v>2456</v>
      </c>
      <c r="C14" s="2458"/>
      <c r="D14" s="2459"/>
      <c r="E14" s="2460"/>
      <c r="F14" s="2461"/>
      <c r="G14" s="1593"/>
      <c r="H14" s="2470" t="s">
        <v>2464</v>
      </c>
      <c r="I14" s="2483" t="s">
        <v>2456</v>
      </c>
      <c r="J14" s="2484"/>
      <c r="K14" s="2459"/>
      <c r="L14" s="2460"/>
      <c r="M14" s="2473"/>
    </row>
    <row r="15" spans="1:25" ht="18" customHeight="1" thickTop="1">
      <c r="A15" s="1734" t="s">
        <v>1873</v>
      </c>
      <c r="B15" s="1732" t="s">
        <v>639</v>
      </c>
      <c r="C15" s="792">
        <f ca="1">ROUND(C31*F15,0)</f>
        <v>0</v>
      </c>
      <c r="D15" s="1739" t="s">
        <v>640</v>
      </c>
      <c r="E15" s="795" t="s">
        <v>641</v>
      </c>
      <c r="F15" s="800">
        <f ca="1">INDIRECT("'数据-取费表'!y"&amp;$G$1)</f>
        <v>0</v>
      </c>
      <c r="G15" s="1593"/>
      <c r="H15" s="1734" t="s">
        <v>1825</v>
      </c>
      <c r="I15" s="1732" t="s">
        <v>642</v>
      </c>
      <c r="J15" s="1724">
        <f ca="1">ROUND(J16*J17,0)</f>
        <v>0</v>
      </c>
      <c r="K15" s="1726" t="s">
        <v>640</v>
      </c>
      <c r="L15" s="801"/>
      <c r="M15" s="802"/>
    </row>
    <row r="16" spans="1:25" ht="18" customHeight="1">
      <c r="A16" s="803" t="s">
        <v>1874</v>
      </c>
      <c r="B16" s="784" t="s">
        <v>643</v>
      </c>
      <c r="C16" s="804">
        <f ca="1">INDIRECT("'数据-取费表'!m"&amp;$G$1)+INDIRECT("'数据-取费表'!t"&amp;$G$1)</f>
        <v>0</v>
      </c>
      <c r="D16" s="1877" t="s">
        <v>644</v>
      </c>
      <c r="E16" s="1878"/>
      <c r="F16" s="805"/>
      <c r="G16" s="1593"/>
      <c r="H16" s="803" t="s">
        <v>2067</v>
      </c>
      <c r="I16" s="2129" t="s">
        <v>2824</v>
      </c>
      <c r="J16" s="53">
        <f ca="1">C31</f>
        <v>0</v>
      </c>
      <c r="K16" s="26"/>
      <c r="L16" s="801"/>
      <c r="M16" s="802"/>
    </row>
    <row r="17" spans="1:25" s="1962" customFormat="1" ht="18" customHeight="1">
      <c r="A17" s="803" t="s">
        <v>1848</v>
      </c>
      <c r="B17" s="784" t="s">
        <v>645</v>
      </c>
      <c r="C17" s="53">
        <f ca="1">ROUND(C16*F17,0)</f>
        <v>0</v>
      </c>
      <c r="D17" s="806" t="s">
        <v>646</v>
      </c>
      <c r="E17" s="806" t="s">
        <v>647</v>
      </c>
      <c r="F17" s="807">
        <f>'数据-取费表'!B33</f>
        <v>0.05</v>
      </c>
      <c r="G17" s="1594"/>
      <c r="H17" s="803" t="s">
        <v>2068</v>
      </c>
      <c r="I17" s="784" t="s">
        <v>641</v>
      </c>
      <c r="J17" s="808">
        <f ca="1">INDIRECT("'数据-取费表'!ad"&amp;$G$1)</f>
        <v>0</v>
      </c>
      <c r="K17" s="26"/>
      <c r="L17" s="801"/>
      <c r="M17" s="802"/>
      <c r="N17" s="1961"/>
      <c r="O17" s="1961"/>
      <c r="P17" s="1961"/>
      <c r="Q17" s="1961"/>
      <c r="R17" s="1961"/>
      <c r="S17" s="1961"/>
      <c r="T17" s="1961"/>
      <c r="U17" s="1961"/>
      <c r="V17" s="1961"/>
      <c r="W17" s="1961"/>
      <c r="X17" s="1961"/>
      <c r="Y17" s="1961"/>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880"/>
      <c r="M18" s="56"/>
    </row>
    <row r="19" spans="1:25" s="1962"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2067</v>
      </c>
      <c r="I19" s="784" t="s">
        <v>654</v>
      </c>
      <c r="J19" s="53">
        <f ca="1">ROUND(IF(项目基本情况!B11="自然人",J7*M19,J20+J21+J22),0)</f>
        <v>0</v>
      </c>
      <c r="K19" s="1877" t="s">
        <v>655</v>
      </c>
      <c r="L19" s="1875" t="s">
        <v>656</v>
      </c>
      <c r="M19" s="810"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875" t="s">
        <v>659</v>
      </c>
      <c r="L20" s="784" t="s">
        <v>647</v>
      </c>
      <c r="M20" s="809">
        <f>'数据-取费表'!B41</f>
        <v>5.6000000000000001E-2</v>
      </c>
      <c r="N20" s="1961"/>
      <c r="O20" s="1961"/>
      <c r="P20" s="1961"/>
      <c r="Q20" s="1961"/>
      <c r="R20" s="1961"/>
      <c r="S20" s="1961"/>
      <c r="T20" s="1961"/>
      <c r="U20" s="1961"/>
      <c r="V20" s="1961"/>
      <c r="W20" s="1961"/>
      <c r="X20" s="1961"/>
      <c r="Y20" s="1961"/>
    </row>
    <row r="21" spans="1:25" ht="18" customHeight="1">
      <c r="A21" s="803" t="s">
        <v>1875</v>
      </c>
      <c r="B21" s="784" t="s">
        <v>660</v>
      </c>
      <c r="C21" s="53">
        <f ca="1">SUM(C16:C20)</f>
        <v>0</v>
      </c>
      <c r="D21" s="261" t="s">
        <v>661</v>
      </c>
      <c r="E21" s="1880"/>
      <c r="F21" s="56"/>
      <c r="G21" s="1593"/>
      <c r="H21" s="1735" t="s">
        <v>1848</v>
      </c>
      <c r="I21" s="784" t="s">
        <v>662</v>
      </c>
      <c r="J21" s="53">
        <f ca="1">IF(K21="按租金收入计税",ROUND(J7*M21,1),ROUND(C31*F35*0.7,1))</f>
        <v>0</v>
      </c>
      <c r="K21" s="811" t="s">
        <v>663</v>
      </c>
      <c r="L21" s="784" t="s">
        <v>647</v>
      </c>
      <c r="M21" s="809">
        <f>IF(K21="按租金收入计税",'数据-取费表'!B51,'数据-取费表'!B50)</f>
        <v>1.2E-2</v>
      </c>
    </row>
    <row r="22" spans="1:25" s="1962" customFormat="1" ht="18" customHeight="1">
      <c r="A22" s="803" t="s">
        <v>1876</v>
      </c>
      <c r="B22" s="784" t="s">
        <v>664</v>
      </c>
      <c r="C22" s="53">
        <f ca="1">ROUND(C21*F22,0)</f>
        <v>0</v>
      </c>
      <c r="D22" s="812" t="s">
        <v>665</v>
      </c>
      <c r="E22" s="784" t="s">
        <v>647</v>
      </c>
      <c r="F22" s="809">
        <f>'数据-取费表'!B37</f>
        <v>1.4999999999999999E-2</v>
      </c>
      <c r="G22" s="1594"/>
      <c r="H22" s="1737" t="s">
        <v>1849</v>
      </c>
      <c r="I22" s="1727" t="s">
        <v>666</v>
      </c>
      <c r="J22" s="54">
        <f ca="1">ROUND(M22*M23/10000,0)</f>
        <v>0</v>
      </c>
      <c r="K22" s="814" t="s">
        <v>667</v>
      </c>
      <c r="L22" s="784" t="s">
        <v>668</v>
      </c>
      <c r="M22" s="640">
        <f>'数据-取费表'!B52</f>
        <v>8</v>
      </c>
      <c r="N22" s="1961"/>
      <c r="O22" s="1961"/>
      <c r="P22" s="1961"/>
      <c r="Q22" s="1961"/>
      <c r="R22" s="1961"/>
      <c r="S22" s="1961"/>
      <c r="T22" s="1961"/>
      <c r="U22" s="1961"/>
      <c r="V22" s="1961"/>
      <c r="W22" s="1961"/>
      <c r="X22" s="1961"/>
      <c r="Y22" s="1961"/>
    </row>
    <row r="23" spans="1:25" s="1962" customFormat="1" ht="18" customHeight="1">
      <c r="A23" s="803" t="s">
        <v>1877</v>
      </c>
      <c r="B23" s="784" t="s">
        <v>669</v>
      </c>
      <c r="C23" s="53" t="s">
        <v>1</v>
      </c>
      <c r="D23" s="812" t="s">
        <v>670</v>
      </c>
      <c r="E23" s="784" t="s">
        <v>671</v>
      </c>
      <c r="F23" s="809">
        <f>'数据-取费表'!B38</f>
        <v>0.03</v>
      </c>
      <c r="G23" s="1594"/>
      <c r="H23" s="1738"/>
      <c r="I23" s="1729"/>
      <c r="J23" s="69"/>
      <c r="K23" s="816"/>
      <c r="L23" s="784" t="s">
        <v>672</v>
      </c>
      <c r="M23" s="785">
        <f ca="1">INDIRECT("'数据-取费表'!r"&amp;$G$1)</f>
        <v>0</v>
      </c>
      <c r="N23" s="1961"/>
      <c r="O23" s="1961"/>
      <c r="P23" s="1961"/>
      <c r="Q23" s="1961"/>
      <c r="R23" s="1961"/>
      <c r="S23" s="1961"/>
      <c r="T23" s="1961"/>
      <c r="U23" s="1961"/>
      <c r="V23" s="1961"/>
      <c r="W23" s="1961"/>
      <c r="X23" s="1961"/>
      <c r="Y23" s="1961"/>
    </row>
    <row r="24" spans="1:25" ht="18" customHeight="1">
      <c r="A24" s="803" t="s">
        <v>1878</v>
      </c>
      <c r="B24" s="784" t="s">
        <v>673</v>
      </c>
      <c r="C24" s="53"/>
      <c r="D24" s="2491" t="str">
        <f>IF(F25&lt;=1,"单利计息。","复利计息。")&amp;"建造成本、管理费用、销售费用产生的利息。"</f>
        <v>复利计息。建造成本、管理费用、销售费用产生的利息。</v>
      </c>
      <c r="E24" s="1880"/>
      <c r="F24" s="56"/>
      <c r="G24" s="1593"/>
      <c r="H24" s="1736" t="s">
        <v>2068</v>
      </c>
      <c r="I24" s="784" t="s">
        <v>674</v>
      </c>
      <c r="J24" s="53">
        <f ca="1">ROUND(J16*M24,0)</f>
        <v>0</v>
      </c>
      <c r="K24" s="1875" t="s">
        <v>675</v>
      </c>
      <c r="L24" s="784" t="s">
        <v>647</v>
      </c>
      <c r="M24" s="817">
        <f ca="1">INDIRECT("'数据-取费表'!Ak"&amp;$G$1)</f>
        <v>0</v>
      </c>
    </row>
    <row r="25" spans="1:25" s="1962" customFormat="1" ht="18" customHeight="1">
      <c r="A25" s="803" t="s">
        <v>1874</v>
      </c>
      <c r="B25" s="784" t="s">
        <v>2433</v>
      </c>
      <c r="C25" s="53">
        <f ca="1">ROUND(IF('数据-取费表'!B22&lt;=1,(C21+C22)*F26*F25/2,(C21+C22)*(POWER((1+F26),F25/2)-1)),0)</f>
        <v>0</v>
      </c>
      <c r="D25" s="2490" t="str">
        <f>IF(F25&lt;=1,"(建造成本+管理费用)×利率×(建设周期÷2)","(建造成本+管理费用)×((1+利率)^(建设周期÷2)-1)")</f>
        <v>(建造成本+管理费用)×((1+利率)^(建设周期÷2)-1)</v>
      </c>
      <c r="E25" s="784" t="s">
        <v>676</v>
      </c>
      <c r="F25" s="640">
        <f>'数据-取费表'!B20</f>
        <v>3</v>
      </c>
      <c r="G25" s="1594"/>
      <c r="H25" s="803" t="s">
        <v>1877</v>
      </c>
      <c r="I25" s="784" t="s">
        <v>677</v>
      </c>
      <c r="J25" s="53">
        <f ca="1">ROUND(J15*M25,0)</f>
        <v>0</v>
      </c>
      <c r="K25" s="1875" t="s">
        <v>678</v>
      </c>
      <c r="L25" s="784" t="s">
        <v>647</v>
      </c>
      <c r="M25" s="818">
        <f ca="1">INDIRECT("'数据-取费表'!Al"&amp;$G$1)</f>
        <v>0</v>
      </c>
      <c r="N25" s="1961"/>
      <c r="O25" s="1961"/>
      <c r="P25" s="1961"/>
      <c r="Q25" s="1961"/>
      <c r="R25" s="1961"/>
      <c r="S25" s="1961"/>
      <c r="T25" s="1961"/>
      <c r="U25" s="1961"/>
      <c r="V25" s="1961"/>
      <c r="W25" s="1961"/>
      <c r="X25" s="1961"/>
      <c r="Y25" s="1961"/>
    </row>
    <row r="26" spans="1:25" s="1962" customFormat="1" ht="18" customHeight="1">
      <c r="A26" s="803" t="s">
        <v>1848</v>
      </c>
      <c r="B26" s="784" t="s">
        <v>679</v>
      </c>
      <c r="C26" s="53">
        <f ca="1">ROUND(IF('数据-取费表'!B22&lt;=1,F23*F26*F25/2,F23*(POWER((1+F26),F25/2)-1)),4)</f>
        <v>2.2000000000000001E-3</v>
      </c>
      <c r="D26" s="249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875" t="s">
        <v>681</v>
      </c>
      <c r="L26" s="784" t="s">
        <v>647</v>
      </c>
      <c r="M26" s="794">
        <f ca="1">INDIRECT("'数据-取费表'!Am"&amp;$G$1)</f>
        <v>0</v>
      </c>
      <c r="N26" s="1961"/>
      <c r="O26" s="1961"/>
      <c r="P26" s="1961"/>
      <c r="Q26" s="1961"/>
      <c r="R26" s="1961"/>
      <c r="S26" s="1961"/>
      <c r="T26" s="1961"/>
      <c r="U26" s="1961"/>
      <c r="V26" s="1961"/>
      <c r="W26" s="1961"/>
      <c r="X26" s="1961"/>
      <c r="Y26" s="1961"/>
    </row>
    <row r="27" spans="1:25" ht="18" customHeight="1">
      <c r="A27" s="803" t="s">
        <v>1880</v>
      </c>
      <c r="B27" s="784" t="s">
        <v>682</v>
      </c>
      <c r="C27" s="53"/>
      <c r="D27" s="261" t="s">
        <v>683</v>
      </c>
      <c r="E27" s="1880"/>
      <c r="F27" s="56"/>
      <c r="G27" s="1593"/>
      <c r="H27" s="797" t="s">
        <v>1827</v>
      </c>
      <c r="I27" s="2926" t="s">
        <v>2821</v>
      </c>
      <c r="J27" s="799">
        <f ca="1">J7-J18</f>
        <v>0</v>
      </c>
      <c r="K27" s="1877" t="s">
        <v>698</v>
      </c>
      <c r="L27" s="1879"/>
      <c r="M27" s="820"/>
    </row>
    <row r="28" spans="1:25" ht="18" customHeight="1">
      <c r="A28" s="803" t="s">
        <v>1874</v>
      </c>
      <c r="B28" s="784" t="s">
        <v>2434</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1962"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9" t="s">
        <v>1882</v>
      </c>
      <c r="B31" s="2460" t="s">
        <v>2822</v>
      </c>
      <c r="C31" s="2463">
        <f ca="1">ROUND((C21+C22+C25+C28)/(1-F23-C26-C29-C30),0)</f>
        <v>0</v>
      </c>
      <c r="D31" s="2464"/>
      <c r="E31" s="2465"/>
      <c r="F31" s="2466"/>
      <c r="G31" s="1594"/>
      <c r="H31" s="823" t="s">
        <v>1871</v>
      </c>
      <c r="I31" s="2927" t="s">
        <v>2823</v>
      </c>
      <c r="J31" s="825">
        <f ca="1">ROUND(J28/(1+F45)^F46,0)</f>
        <v>0</v>
      </c>
      <c r="K31" s="826" t="s">
        <v>686</v>
      </c>
      <c r="L31" s="827"/>
      <c r="M31" s="828">
        <f ca="1">INDIRECT("'数据-取费表'!k"&amp;$G$1)</f>
        <v>0</v>
      </c>
      <c r="N31" s="1961"/>
      <c r="O31" s="1961"/>
      <c r="P31" s="1961"/>
      <c r="Q31" s="1961"/>
      <c r="R31" s="1961"/>
      <c r="S31" s="1961"/>
      <c r="T31" s="1961"/>
      <c r="U31" s="1961"/>
      <c r="V31" s="1961"/>
      <c r="W31" s="1961"/>
      <c r="X31" s="1961"/>
      <c r="Y31" s="1961"/>
    </row>
    <row r="32" spans="1:25" ht="18" customHeight="1" thickTop="1">
      <c r="A32" s="1734" t="s">
        <v>7</v>
      </c>
      <c r="B32" s="1732" t="s">
        <v>687</v>
      </c>
      <c r="C32" s="792">
        <f ca="1">ROUND(C33+C38+C39+C40,0)</f>
        <v>0</v>
      </c>
      <c r="D32" s="1726" t="s">
        <v>650</v>
      </c>
      <c r="E32" s="2406"/>
      <c r="F32" s="2410"/>
      <c r="G32" s="1960"/>
      <c r="H32" s="1963"/>
      <c r="I32" s="1964"/>
      <c r="J32" s="1965"/>
      <c r="K32" s="1966"/>
      <c r="L32" s="1967"/>
      <c r="M32" s="1968"/>
    </row>
    <row r="33" spans="1:18" ht="18" customHeight="1">
      <c r="A33" s="803" t="s">
        <v>1875</v>
      </c>
      <c r="B33" s="784" t="s">
        <v>654</v>
      </c>
      <c r="C33" s="53">
        <f ca="1">ROUND(IF(项目基本情况!B11="自然人",C7*F33,C34+C35+C36),1)</f>
        <v>0</v>
      </c>
      <c r="D33" s="1877" t="s">
        <v>655</v>
      </c>
      <c r="E33" s="1875" t="s">
        <v>688</v>
      </c>
      <c r="F33" s="810" t="str">
        <f ca="1">IF(项目基本情况!B11="企业","",IF(INDIRECT("'数据-取费表'!c"&amp;$G$1)="住宅",5%,IF(F8*F9*F10/12/(1+'数据-取费表'!C42)&gt;20000,12%,7%)))</f>
        <v/>
      </c>
      <c r="G33" s="1960"/>
      <c r="H33" s="1963"/>
      <c r="I33" s="1964"/>
      <c r="J33" s="1965"/>
      <c r="K33" s="1966"/>
      <c r="L33" s="1967"/>
      <c r="M33" s="1968"/>
    </row>
    <row r="34" spans="1:18" ht="18" customHeight="1">
      <c r="A34" s="803" t="s">
        <v>1874</v>
      </c>
      <c r="B34" s="784" t="s">
        <v>658</v>
      </c>
      <c r="C34" s="53">
        <f ca="1">ROUND(C7*F34/1.05,1)</f>
        <v>0</v>
      </c>
      <c r="D34" s="1875" t="s">
        <v>659</v>
      </c>
      <c r="E34" s="784" t="s">
        <v>647</v>
      </c>
      <c r="F34" s="809">
        <f>'数据-取费表'!B41</f>
        <v>5.6000000000000001E-2</v>
      </c>
      <c r="G34" s="1960"/>
      <c r="H34" s="1969"/>
      <c r="I34" s="1970"/>
      <c r="J34" s="1971"/>
      <c r="K34" s="1972"/>
      <c r="L34" s="1973"/>
      <c r="M34" s="1974"/>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1960"/>
      <c r="H35" s="1975"/>
      <c r="I35" s="1975"/>
      <c r="J35" s="1975"/>
      <c r="K35" s="1976"/>
      <c r="L35" s="1975"/>
      <c r="M35" s="1975"/>
    </row>
    <row r="36" spans="1:18" ht="18" customHeight="1">
      <c r="A36" s="813" t="s">
        <v>1879</v>
      </c>
      <c r="B36" s="341" t="s">
        <v>666</v>
      </c>
      <c r="C36" s="54">
        <f ca="1">ROUND(F36*F37/10000,1)</f>
        <v>0</v>
      </c>
      <c r="D36" s="814" t="s">
        <v>667</v>
      </c>
      <c r="E36" s="784" t="s">
        <v>668</v>
      </c>
      <c r="F36" s="640">
        <f>'数据-取费表'!B52</f>
        <v>8</v>
      </c>
      <c r="G36" s="1960"/>
      <c r="H36" s="1963"/>
      <c r="I36" s="3611"/>
      <c r="J36" s="1977"/>
      <c r="K36" s="1978"/>
      <c r="L36" s="1977"/>
      <c r="M36" s="1977"/>
    </row>
    <row r="37" spans="1:18" ht="18" customHeight="1">
      <c r="A37" s="815"/>
      <c r="B37" s="793"/>
      <c r="C37" s="69"/>
      <c r="D37" s="816"/>
      <c r="E37" s="784" t="s">
        <v>672</v>
      </c>
      <c r="F37" s="785">
        <f ca="1">INDIRECT("'数据-取费表'!r"&amp;$G$1)</f>
        <v>0</v>
      </c>
      <c r="G37" s="1960"/>
      <c r="H37" s="1963"/>
      <c r="I37" s="3611"/>
      <c r="J37" s="1975"/>
      <c r="K37" s="1976"/>
      <c r="L37" s="1975"/>
      <c r="M37" s="1975"/>
    </row>
    <row r="38" spans="1:18" ht="18" customHeight="1">
      <c r="A38" s="803" t="s">
        <v>1876</v>
      </c>
      <c r="B38" s="784" t="s">
        <v>674</v>
      </c>
      <c r="C38" s="53">
        <f ca="1">ROUND(C31*F38,1)</f>
        <v>0</v>
      </c>
      <c r="D38" s="1875" t="s">
        <v>689</v>
      </c>
      <c r="E38" s="784" t="s">
        <v>647</v>
      </c>
      <c r="F38" s="817">
        <f ca="1">INDIRECT("'数据-取费表'!Ak"&amp;$G$1)</f>
        <v>0</v>
      </c>
      <c r="G38" s="1960"/>
      <c r="H38" s="1975"/>
      <c r="I38" s="1979"/>
      <c r="J38" s="1886"/>
      <c r="K38" s="1980"/>
      <c r="L38" s="1975"/>
      <c r="M38" s="1975"/>
    </row>
    <row r="39" spans="1:18" ht="18" customHeight="1">
      <c r="A39" s="803" t="s">
        <v>1877</v>
      </c>
      <c r="B39" s="784" t="s">
        <v>677</v>
      </c>
      <c r="C39" s="53">
        <f ca="1">ROUND(C15*F39,1)</f>
        <v>0</v>
      </c>
      <c r="D39" s="1875" t="s">
        <v>678</v>
      </c>
      <c r="E39" s="784" t="s">
        <v>647</v>
      </c>
      <c r="F39" s="818">
        <f ca="1">INDIRECT("'数据-取费表'!Al"&amp;$G$1)</f>
        <v>0</v>
      </c>
      <c r="G39" s="1960"/>
      <c r="H39" s="1975"/>
      <c r="I39" s="1979"/>
      <c r="J39" s="1886"/>
      <c r="K39" s="1980"/>
      <c r="L39" s="1975"/>
      <c r="M39" s="1975"/>
    </row>
    <row r="40" spans="1:18" ht="18" customHeight="1" thickBot="1">
      <c r="A40" s="2479" t="s">
        <v>1878</v>
      </c>
      <c r="B40" s="2465" t="s">
        <v>664</v>
      </c>
      <c r="C40" s="2463">
        <f ca="1">ROUND(C7*F40,1)</f>
        <v>0</v>
      </c>
      <c r="D40" s="2464" t="s">
        <v>681</v>
      </c>
      <c r="E40" s="2465" t="s">
        <v>647</v>
      </c>
      <c r="F40" s="2461">
        <f ca="1">INDIRECT("'数据-取费表'!Am"&amp;$G$1)</f>
        <v>0</v>
      </c>
      <c r="G40" s="1960"/>
      <c r="H40" s="1975"/>
      <c r="I40" s="1979"/>
      <c r="J40" s="1886"/>
      <c r="K40" s="1981"/>
      <c r="L40" s="1975"/>
      <c r="M40" s="1975"/>
    </row>
    <row r="41" spans="1:18" ht="18" customHeight="1" thickTop="1">
      <c r="A41" s="1734">
        <v>4</v>
      </c>
      <c r="B41" s="1732" t="s">
        <v>690</v>
      </c>
      <c r="C41" s="1353"/>
      <c r="D41" s="1354"/>
      <c r="E41" s="1354"/>
      <c r="F41" s="1355"/>
      <c r="G41" s="1960"/>
      <c r="H41" s="1960"/>
      <c r="I41" s="1960"/>
      <c r="J41" s="1960"/>
      <c r="K41" s="1981"/>
      <c r="L41" s="1960"/>
      <c r="M41" s="1960"/>
    </row>
    <row r="42" spans="1:18" ht="18" customHeight="1">
      <c r="A42" s="803" t="s">
        <v>1875</v>
      </c>
      <c r="B42" s="835" t="s">
        <v>691</v>
      </c>
      <c r="C42" s="829">
        <f ca="1">C7-C32</f>
        <v>0</v>
      </c>
      <c r="D42" s="1877" t="s">
        <v>692</v>
      </c>
      <c r="E42" s="1879"/>
      <c r="F42" s="820"/>
      <c r="G42" s="1960"/>
      <c r="H42" s="1960"/>
      <c r="I42" s="1960"/>
      <c r="J42" s="1960"/>
      <c r="K42" s="1981"/>
      <c r="L42" s="1960"/>
      <c r="M42" s="1960"/>
    </row>
    <row r="43" spans="1:18" ht="18" customHeight="1">
      <c r="A43" s="803" t="s">
        <v>1876</v>
      </c>
      <c r="B43" s="835" t="s">
        <v>709</v>
      </c>
      <c r="C43" s="836">
        <f ca="1">ROUND(C15*F43,0)</f>
        <v>0</v>
      </c>
      <c r="D43" s="1356" t="s">
        <v>710</v>
      </c>
      <c r="E43" s="3038" t="s">
        <v>2952</v>
      </c>
      <c r="F43" s="3039">
        <f ca="1">INDIRECT("'数据-取费表'!j"&amp;$G$1)</f>
        <v>0</v>
      </c>
      <c r="G43" s="1960"/>
      <c r="H43" s="1960"/>
      <c r="I43" s="1960"/>
      <c r="J43" s="1960"/>
      <c r="K43" s="1981"/>
      <c r="L43" s="1960"/>
      <c r="M43" s="1960"/>
    </row>
    <row r="44" spans="1:18" ht="18" customHeight="1">
      <c r="A44" s="803" t="s">
        <v>1877</v>
      </c>
      <c r="B44" s="835" t="s">
        <v>711</v>
      </c>
      <c r="C44" s="1357">
        <f ca="1">C42-C43</f>
        <v>0</v>
      </c>
      <c r="D44" s="463" t="s">
        <v>712</v>
      </c>
      <c r="E44" s="464"/>
      <c r="F44" s="465"/>
      <c r="G44" s="1960"/>
      <c r="H44" s="1960"/>
      <c r="I44" s="1960"/>
      <c r="J44" s="1960"/>
      <c r="K44" s="1981"/>
      <c r="L44" s="1960"/>
      <c r="M44" s="1960"/>
    </row>
    <row r="45" spans="1:18" ht="18" customHeight="1">
      <c r="A45" s="803" t="s">
        <v>1878</v>
      </c>
      <c r="B45" s="1356" t="s">
        <v>713</v>
      </c>
      <c r="C45" s="2953">
        <f ca="1">ROUND(-PV(F45,F46,C44,0),0)</f>
        <v>0</v>
      </c>
      <c r="D45" s="1358" t="s">
        <v>714</v>
      </c>
      <c r="E45" s="806" t="s">
        <v>715</v>
      </c>
      <c r="F45" s="830">
        <f ca="1">INDIRECT("'数据-取费表'!h"&amp;$G$1)</f>
        <v>0</v>
      </c>
      <c r="G45" s="1960"/>
      <c r="H45" s="1960"/>
      <c r="I45" s="1960"/>
      <c r="J45" s="1960"/>
      <c r="K45" s="1981"/>
      <c r="L45" s="1960"/>
      <c r="M45" s="1960"/>
    </row>
    <row r="46" spans="1:18" ht="18" customHeight="1" thickBot="1">
      <c r="A46" s="831"/>
      <c r="B46" s="1359"/>
      <c r="C46" s="1360"/>
      <c r="D46" s="1361"/>
      <c r="E46" s="3040" t="s">
        <v>2955</v>
      </c>
      <c r="F46" s="828">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75" t="s">
        <v>2338</v>
      </c>
      <c r="J47" s="2276"/>
      <c r="K47" s="2277"/>
      <c r="L47" s="2278" t="str">
        <f ca="1">IF(M48="住宅",0,IF(L49&gt;J52,L61,J61))</f>
        <v>0</v>
      </c>
      <c r="O47" s="2315" t="s">
        <v>2406</v>
      </c>
      <c r="P47" s="1593"/>
      <c r="Q47" s="1605"/>
      <c r="R47" s="1593"/>
    </row>
    <row r="48" spans="1:18" s="1957" customFormat="1" ht="18" customHeight="1" thickBot="1">
      <c r="A48" s="1982"/>
      <c r="C48" s="1985"/>
      <c r="D48" s="1986"/>
      <c r="E48" s="1986"/>
      <c r="F48" s="1987"/>
      <c r="G48" s="1988"/>
      <c r="I48" s="2279" t="s">
        <v>2339</v>
      </c>
      <c r="J48" s="2284"/>
      <c r="K48" s="2285" t="s">
        <v>2345</v>
      </c>
      <c r="L48" s="2286">
        <f ca="1">INDIRECT("'数据-取费表'!d"&amp;$G$1)</f>
        <v>0</v>
      </c>
      <c r="M48" s="3035" t="str">
        <f>IF(ISNUMBER(FIND("住宅",C1)),"住宅","非住宅")</f>
        <v>非住宅</v>
      </c>
      <c r="O48" s="2316" t="s">
        <v>2371</v>
      </c>
      <c r="P48" s="2317" t="s">
        <v>2372</v>
      </c>
      <c r="Q48" s="2318" t="s">
        <v>2373</v>
      </c>
      <c r="R48" s="2317" t="s">
        <v>2374</v>
      </c>
    </row>
    <row r="49" spans="1:18" s="1957" customFormat="1" ht="18" customHeight="1" thickBot="1">
      <c r="A49" s="1982"/>
      <c r="D49" s="1989"/>
      <c r="E49" s="1990"/>
      <c r="F49" s="1987"/>
      <c r="G49" s="1988"/>
      <c r="H49" s="1991"/>
      <c r="I49" s="2280" t="s">
        <v>2340</v>
      </c>
      <c r="J49" s="2287"/>
      <c r="K49" s="2288" t="s">
        <v>2347</v>
      </c>
      <c r="L49" s="2289">
        <f ca="1">INDIRECT("'数据-取费表'!f"&amp;$G$1)</f>
        <v>0</v>
      </c>
      <c r="O49" s="2319" t="s">
        <v>2375</v>
      </c>
      <c r="P49" s="2320" t="s">
        <v>2401</v>
      </c>
      <c r="Q49" s="2321">
        <f ca="1">C41+J31</f>
        <v>0</v>
      </c>
      <c r="R49" s="2320" t="s">
        <v>2376</v>
      </c>
    </row>
    <row r="50" spans="1:18" s="1957" customFormat="1" ht="18" customHeight="1" thickBot="1">
      <c r="A50" s="1982"/>
      <c r="D50" s="1992"/>
      <c r="E50" s="1992"/>
      <c r="F50" s="1986"/>
      <c r="G50" s="1993"/>
      <c r="H50" s="1991"/>
      <c r="I50" s="2280" t="s">
        <v>2341</v>
      </c>
      <c r="J50" s="2290"/>
      <c r="K50" s="2291" t="s">
        <v>2348</v>
      </c>
      <c r="L50" s="2292"/>
      <c r="O50" s="2319" t="s">
        <v>2377</v>
      </c>
      <c r="P50" s="2320" t="s">
        <v>2402</v>
      </c>
      <c r="Q50" s="2321" t="str">
        <f ca="1">J61</f>
        <v>0</v>
      </c>
      <c r="R50" s="2320" t="s">
        <v>2378</v>
      </c>
    </row>
    <row r="51" spans="1:18" s="1957" customFormat="1" ht="18" customHeight="1" thickBot="1">
      <c r="A51" s="1994"/>
      <c r="D51" s="1992"/>
      <c r="E51" s="1992"/>
      <c r="F51" s="1983"/>
      <c r="H51" s="1991"/>
      <c r="I51" s="2280" t="s">
        <v>2342</v>
      </c>
      <c r="J51" s="2293">
        <f>SUMPRODUCT((I64:I66=J48)*(J63:L63=J49)*(J64:L66))</f>
        <v>0</v>
      </c>
      <c r="K51" s="2291" t="s">
        <v>2349</v>
      </c>
      <c r="L51" s="2292"/>
      <c r="O51" s="2322" t="s">
        <v>2379</v>
      </c>
      <c r="P51" s="2320" t="s">
        <v>2403</v>
      </c>
      <c r="Q51" s="2321">
        <f ca="1">C31</f>
        <v>0</v>
      </c>
      <c r="R51" s="2320" t="s">
        <v>2376</v>
      </c>
    </row>
    <row r="52" spans="1:18" s="1957" customFormat="1" ht="18" customHeight="1" thickBot="1">
      <c r="A52" s="1994"/>
      <c r="F52" s="1983"/>
      <c r="I52" s="2281" t="s">
        <v>2343</v>
      </c>
      <c r="J52" s="2294">
        <f>IF(J50="",J51,J50+J51-YEAR('数据-取费表'!B3))</f>
        <v>0</v>
      </c>
      <c r="K52" s="2280" t="s">
        <v>2350</v>
      </c>
      <c r="L52" s="2295">
        <f ca="1">ROUND(-PV(INDIRECT("'数据-取费表'!h"&amp;$G$1),L49,(C40-C14*J36),0),0)</f>
        <v>0</v>
      </c>
      <c r="O52" s="2322" t="s">
        <v>2380</v>
      </c>
      <c r="P52" s="2320" t="s">
        <v>2381</v>
      </c>
      <c r="Q52" s="2323" t="e">
        <f ca="1">J59</f>
        <v>#VALUE!</v>
      </c>
      <c r="R52" s="2324"/>
    </row>
    <row r="53" spans="1:18" s="1957" customFormat="1" ht="18" customHeight="1" thickBot="1">
      <c r="A53" s="1994"/>
      <c r="F53" s="1983"/>
      <c r="I53" s="2282" t="s">
        <v>2417</v>
      </c>
      <c r="J53" s="2296"/>
      <c r="K53" s="2282" t="s">
        <v>2416</v>
      </c>
      <c r="L53" s="2296"/>
      <c r="O53" s="2322" t="s">
        <v>2382</v>
      </c>
      <c r="P53" s="2320" t="s">
        <v>2383</v>
      </c>
      <c r="Q53" s="2323">
        <f>J53</f>
        <v>0</v>
      </c>
      <c r="R53" s="2324"/>
    </row>
    <row r="54" spans="1:18" s="1957" customFormat="1" ht="43.5" thickBot="1">
      <c r="A54" s="1994"/>
      <c r="I54" s="2283" t="s">
        <v>2344</v>
      </c>
      <c r="J54" s="2297">
        <f ca="1">IF(M48="住宅",J52,IF(J52&gt;L49,L49-'数据-取费表'!B25,J52))</f>
        <v>0</v>
      </c>
      <c r="K54" s="3616"/>
      <c r="L54" s="3617"/>
      <c r="O54" s="2322" t="s">
        <v>2384</v>
      </c>
      <c r="P54" s="2320" t="s">
        <v>2385</v>
      </c>
      <c r="Q54" s="2321">
        <f ca="1">J54</f>
        <v>0</v>
      </c>
      <c r="R54" s="2320" t="s">
        <v>2386</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19" t="s">
        <v>2387</v>
      </c>
      <c r="P55" s="2320" t="s">
        <v>2404</v>
      </c>
      <c r="Q55" s="2321">
        <f ca="1">Q49+Q50</f>
        <v>0</v>
      </c>
      <c r="R55" s="2324" t="s">
        <v>2388</v>
      </c>
    </row>
    <row r="56" spans="1:18" s="1957" customFormat="1" ht="16.5" thickBot="1">
      <c r="A56" s="1994"/>
      <c r="B56" s="1995"/>
      <c r="C56" s="1995"/>
      <c r="I56" s="3012" t="s">
        <v>2351</v>
      </c>
      <c r="J56" s="3036" t="e">
        <f ca="1">ROUND(IF(J48="钢混",J58/J51,1-(1-2%)*(J51-J58)/J51),3)</f>
        <v>#VALUE!</v>
      </c>
      <c r="K56" s="2298" t="s">
        <v>2352</v>
      </c>
      <c r="L56" s="2299"/>
      <c r="O56" s="2325" t="s">
        <v>2407</v>
      </c>
      <c r="P56" s="1593"/>
      <c r="Q56" s="1605"/>
      <c r="R56" s="1593"/>
    </row>
    <row r="57" spans="1:18" s="1957" customFormat="1" ht="43.5" thickBot="1">
      <c r="A57" s="1994"/>
      <c r="B57" s="1995"/>
      <c r="C57" s="1995"/>
      <c r="I57" s="2300" t="s">
        <v>2353</v>
      </c>
      <c r="J57" s="3035" t="s">
        <v>1677</v>
      </c>
      <c r="K57" s="2280" t="s">
        <v>2358</v>
      </c>
      <c r="L57" s="2289">
        <f ca="1">IF(L49&lt;J52,"——",L49-J52)</f>
        <v>0</v>
      </c>
      <c r="O57" s="2316" t="s">
        <v>2371</v>
      </c>
      <c r="P57" s="2317" t="s">
        <v>2372</v>
      </c>
      <c r="Q57" s="2318" t="s">
        <v>2373</v>
      </c>
      <c r="R57" s="2317" t="s">
        <v>2374</v>
      </c>
    </row>
    <row r="58" spans="1:18" s="1957" customFormat="1" ht="29.25" thickBot="1">
      <c r="A58" s="1994"/>
      <c r="B58" s="1995"/>
      <c r="C58" s="1995"/>
      <c r="I58" s="2301" t="s">
        <v>2354</v>
      </c>
      <c r="J58" s="2303" t="str">
        <f ca="1">IF(OR(M48="住宅",J52&lt;L49,J57="是"),"——",J52-L49)</f>
        <v>——</v>
      </c>
      <c r="K58" s="2280" t="s">
        <v>2359</v>
      </c>
      <c r="L58" s="2289">
        <f ca="1">IF(L49&lt;J52,"——",IF(L56="比较法",L50,IF(L56="基准地价",L51,L52)))</f>
        <v>0</v>
      </c>
      <c r="O58" s="2319" t="s">
        <v>2375</v>
      </c>
      <c r="P58" s="2320" t="s">
        <v>2401</v>
      </c>
      <c r="Q58" s="2321">
        <f ca="1">C41+J31</f>
        <v>0</v>
      </c>
      <c r="R58" s="2320" t="s">
        <v>2376</v>
      </c>
    </row>
    <row r="59" spans="1:18" s="1957" customFormat="1" ht="29.25" thickBot="1">
      <c r="A59" s="1994"/>
      <c r="B59" s="1995"/>
      <c r="C59" s="1995"/>
      <c r="I59" s="2301" t="s">
        <v>2355</v>
      </c>
      <c r="J59" s="3037" t="e">
        <f ca="1">IF(J56&lt;0.4,0.4,J56)</f>
        <v>#VALUE!</v>
      </c>
      <c r="K59" s="2280" t="s">
        <v>2360</v>
      </c>
      <c r="L59" s="2289">
        <f ca="1">IF(ISERROR(POWER(1+L53,L48-L49)*(POWER(1+L53,L49)-1)/(POWER(1+L53,L48)-1)),0,POWER(1+L53,L48-L49)*(POWER(1+L53,L49)-1)/(POWER(1+L53,L48)-1))</f>
        <v>0</v>
      </c>
      <c r="O59" s="2319" t="s">
        <v>2377</v>
      </c>
      <c r="P59" s="2320" t="s">
        <v>2408</v>
      </c>
      <c r="Q59" s="2321" t="e">
        <f ca="1">L61</f>
        <v>#DIV/0!</v>
      </c>
      <c r="R59" s="2324" t="s">
        <v>2410</v>
      </c>
    </row>
    <row r="60" spans="1:18" s="1957" customFormat="1" ht="29.25" thickBot="1">
      <c r="A60" s="1994"/>
      <c r="B60" s="1995"/>
      <c r="C60" s="1995"/>
      <c r="I60" s="2301" t="s">
        <v>2356</v>
      </c>
      <c r="J60" s="2303" t="str">
        <f ca="1">IF(OR(M48="住宅",J52&lt;L49,J57="是"),"——",ROUND(C30*J59,0))</f>
        <v>——</v>
      </c>
      <c r="K60" s="2280" t="s">
        <v>2361</v>
      </c>
      <c r="L60" s="2289">
        <f ca="1">IF(ISERROR(POWER(1+L53,L48-J52)*(POWER(1+L53,J52)-1)/(POWER(1+L53,L48)-1)),0,POWER(1+L53,L48-J52)*(POWER(1+L53,J52)-1)/(POWER(1+L53,L48)-1))</f>
        <v>0</v>
      </c>
      <c r="O60" s="2322" t="s">
        <v>2379</v>
      </c>
      <c r="P60" s="2320" t="s">
        <v>2409</v>
      </c>
      <c r="Q60" s="2321">
        <f>IF(L56="比较法",L50,IF(L56="基准地价",L51,0))</f>
        <v>0</v>
      </c>
      <c r="R60" s="2320" t="s">
        <v>2376</v>
      </c>
    </row>
    <row r="61" spans="1:18" s="1957" customFormat="1" ht="15.75" thickBot="1">
      <c r="A61" s="1994"/>
      <c r="B61" s="1995"/>
      <c r="C61" s="1995"/>
      <c r="I61" s="2302" t="s">
        <v>2357</v>
      </c>
      <c r="J61" s="2304" t="str">
        <f ca="1">IF(OR(M48="住宅",J52&lt;L49,J57="是"),"0",ROUND(J60/(1+J53)^J54,0))</f>
        <v>0</v>
      </c>
      <c r="K61" s="2305" t="s">
        <v>2362</v>
      </c>
      <c r="L61" s="2304" t="e">
        <f ca="1">IF(OR(M48="住宅",L49&lt;J52),0,ROUND(L58*(L59/L60-1),0))</f>
        <v>#DIV/0!</v>
      </c>
      <c r="O61" s="2322" t="s">
        <v>2380</v>
      </c>
      <c r="P61" s="2320" t="s">
        <v>2389</v>
      </c>
      <c r="Q61" s="2323">
        <f>L53</f>
        <v>0</v>
      </c>
      <c r="R61" s="2324"/>
    </row>
    <row r="62" spans="1:18" s="1957" customFormat="1" ht="20.25" thickBot="1">
      <c r="A62" s="1994"/>
      <c r="B62" s="1995"/>
      <c r="C62" s="1995"/>
      <c r="K62" s="1984"/>
      <c r="O62" s="2322" t="s">
        <v>2382</v>
      </c>
      <c r="P62" s="2320" t="s">
        <v>2390</v>
      </c>
      <c r="Q62" s="2321">
        <f ca="1">L59</f>
        <v>0</v>
      </c>
      <c r="R62" s="2324" t="s">
        <v>2391</v>
      </c>
    </row>
    <row r="63" spans="1:18" s="1957" customFormat="1" ht="20.25" thickBot="1">
      <c r="A63" s="1994"/>
      <c r="B63" s="1995"/>
      <c r="C63" s="1995"/>
      <c r="I63" s="2306" t="s">
        <v>2363</v>
      </c>
      <c r="J63" s="2307" t="s">
        <v>2364</v>
      </c>
      <c r="K63" s="2307" t="s">
        <v>2365</v>
      </c>
      <c r="L63" s="2307" t="s">
        <v>2346</v>
      </c>
      <c r="M63" s="3014" t="s">
        <v>2931</v>
      </c>
      <c r="O63" s="2322" t="s">
        <v>2384</v>
      </c>
      <c r="P63" s="2320" t="s">
        <v>2392</v>
      </c>
      <c r="Q63" s="2321">
        <f ca="1">L60</f>
        <v>0</v>
      </c>
      <c r="R63" s="2324" t="s">
        <v>2393</v>
      </c>
    </row>
    <row r="64" spans="1:18" s="1957" customFormat="1" ht="15.75" thickBot="1">
      <c r="A64" s="1994"/>
      <c r="B64" s="1995"/>
      <c r="C64" s="1995"/>
      <c r="I64" s="2306" t="s">
        <v>2366</v>
      </c>
      <c r="J64" s="2307">
        <v>70</v>
      </c>
      <c r="K64" s="2307">
        <v>50</v>
      </c>
      <c r="L64" s="2307">
        <v>80</v>
      </c>
      <c r="M64" s="3015">
        <v>0.02</v>
      </c>
      <c r="O64" s="2319" t="s">
        <v>2387</v>
      </c>
      <c r="P64" s="2320" t="s">
        <v>2404</v>
      </c>
      <c r="Q64" s="2321" t="e">
        <f ca="1">Q58+Q59</f>
        <v>#DIV/0!</v>
      </c>
      <c r="R64" s="2324" t="s">
        <v>2388</v>
      </c>
    </row>
    <row r="65" spans="1:18" s="1957" customFormat="1" ht="16.5" thickBot="1">
      <c r="A65" s="1994"/>
      <c r="B65" s="1995"/>
      <c r="C65" s="1995"/>
      <c r="I65" s="2306" t="s">
        <v>2367</v>
      </c>
      <c r="J65" s="2307">
        <v>50</v>
      </c>
      <c r="K65" s="2307">
        <v>35</v>
      </c>
      <c r="L65" s="2307">
        <v>60</v>
      </c>
      <c r="M65" s="3016">
        <v>0</v>
      </c>
      <c r="O65" s="2325" t="s">
        <v>2411</v>
      </c>
      <c r="P65" s="1593"/>
      <c r="Q65" s="1605"/>
      <c r="R65" s="1593"/>
    </row>
    <row r="66" spans="1:18" s="1957" customFormat="1" ht="15.75" thickBot="1">
      <c r="A66" s="1994"/>
      <c r="B66" s="1995"/>
      <c r="C66" s="1995"/>
      <c r="I66" s="2306" t="s">
        <v>2368</v>
      </c>
      <c r="J66" s="2307">
        <v>40</v>
      </c>
      <c r="K66" s="2307">
        <v>30</v>
      </c>
      <c r="L66" s="2307">
        <v>50</v>
      </c>
      <c r="M66" s="3015">
        <v>0.02</v>
      </c>
      <c r="O66" s="2316" t="s">
        <v>2371</v>
      </c>
      <c r="P66" s="2317" t="s">
        <v>2372</v>
      </c>
      <c r="Q66" s="2318" t="s">
        <v>2373</v>
      </c>
      <c r="R66" s="2317" t="s">
        <v>2374</v>
      </c>
    </row>
    <row r="67" spans="1:18" s="1957" customFormat="1" ht="15.75" thickBot="1">
      <c r="A67" s="1994"/>
      <c r="B67" s="1995"/>
      <c r="C67" s="1995"/>
      <c r="K67" s="1984"/>
      <c r="O67" s="2319" t="s">
        <v>2375</v>
      </c>
      <c r="P67" s="2320" t="s">
        <v>2401</v>
      </c>
      <c r="Q67" s="2321">
        <f ca="1">C41+J31</f>
        <v>0</v>
      </c>
      <c r="R67" s="2320" t="s">
        <v>2376</v>
      </c>
    </row>
    <row r="68" spans="1:18" s="1957" customFormat="1" ht="20.25" thickBot="1">
      <c r="A68" s="1994"/>
      <c r="B68" s="1995"/>
      <c r="C68" s="1995"/>
      <c r="K68" s="1984"/>
      <c r="O68" s="2319" t="s">
        <v>2377</v>
      </c>
      <c r="P68" s="2320" t="s">
        <v>2408</v>
      </c>
      <c r="Q68" s="2321" t="e">
        <f ca="1">L61</f>
        <v>#DIV/0!</v>
      </c>
      <c r="R68" s="2324" t="s">
        <v>2410</v>
      </c>
    </row>
    <row r="69" spans="1:18" s="1957" customFormat="1" ht="21.75" thickBot="1">
      <c r="A69" s="1994"/>
      <c r="B69" s="1995"/>
      <c r="C69" s="1995"/>
      <c r="K69" s="1984"/>
      <c r="O69" s="2322" t="s">
        <v>2379</v>
      </c>
      <c r="P69" s="2320" t="s">
        <v>2409</v>
      </c>
      <c r="Q69" s="2326">
        <f ca="1">L52</f>
        <v>0</v>
      </c>
      <c r="R69" s="2327" t="s">
        <v>2412</v>
      </c>
    </row>
    <row r="70" spans="1:18" s="1957" customFormat="1" ht="20.25" thickBot="1">
      <c r="A70" s="1994"/>
      <c r="B70" s="1995"/>
      <c r="C70" s="1995"/>
      <c r="K70" s="1984"/>
      <c r="O70" s="2322" t="s">
        <v>2380</v>
      </c>
      <c r="P70" s="2328" t="s">
        <v>2394</v>
      </c>
      <c r="Q70" s="2321">
        <f ca="1">ROUND(Q71-Q72*Q73,0)</f>
        <v>0</v>
      </c>
      <c r="R70" s="2324"/>
    </row>
    <row r="71" spans="1:18" s="1957" customFormat="1" ht="15.75" thickBot="1">
      <c r="A71" s="1994"/>
      <c r="B71" s="1995"/>
      <c r="C71" s="1995"/>
      <c r="K71" s="1984"/>
      <c r="O71" s="2322" t="s">
        <v>2395</v>
      </c>
      <c r="P71" s="2328" t="s">
        <v>2396</v>
      </c>
      <c r="Q71" s="2321">
        <f ca="1">C42</f>
        <v>0</v>
      </c>
      <c r="R71" s="2320" t="s">
        <v>2376</v>
      </c>
    </row>
    <row r="72" spans="1:18" s="1957" customFormat="1" ht="15.75" thickBot="1">
      <c r="A72" s="1994"/>
      <c r="B72" s="1995"/>
      <c r="C72" s="1995"/>
      <c r="K72" s="1984"/>
      <c r="O72" s="2322" t="s">
        <v>2397</v>
      </c>
      <c r="P72" s="2328" t="s">
        <v>2398</v>
      </c>
      <c r="Q72" s="2321">
        <f ca="1">C15</f>
        <v>0</v>
      </c>
      <c r="R72" s="2320" t="s">
        <v>2376</v>
      </c>
    </row>
    <row r="73" spans="1:18" s="1957" customFormat="1" ht="15.75" thickBot="1">
      <c r="A73" s="1994"/>
      <c r="B73" s="1995"/>
      <c r="C73" s="1995"/>
      <c r="K73" s="1984"/>
      <c r="O73" s="2322" t="s">
        <v>2399</v>
      </c>
      <c r="P73" s="2328" t="s">
        <v>2400</v>
      </c>
      <c r="Q73" s="2323">
        <f ca="1">F43</f>
        <v>0</v>
      </c>
      <c r="R73" s="2324"/>
    </row>
    <row r="74" spans="1:18" s="1957" customFormat="1" ht="15.75" thickBot="1">
      <c r="A74" s="1994"/>
      <c r="B74" s="1995"/>
      <c r="C74" s="1995"/>
      <c r="K74" s="1984"/>
      <c r="O74" s="2322" t="s">
        <v>2382</v>
      </c>
      <c r="P74" s="2320" t="s">
        <v>2389</v>
      </c>
      <c r="Q74" s="2323">
        <f>L53</f>
        <v>0</v>
      </c>
      <c r="R74" s="2324"/>
    </row>
    <row r="75" spans="1:18" s="1957" customFormat="1" ht="20.25" thickBot="1">
      <c r="A75" s="1994"/>
      <c r="B75" s="1995"/>
      <c r="C75" s="1995"/>
      <c r="K75" s="1984"/>
      <c r="O75" s="2322" t="s">
        <v>2384</v>
      </c>
      <c r="P75" s="2320" t="s">
        <v>2390</v>
      </c>
      <c r="Q75" s="2321">
        <f ca="1">L59</f>
        <v>0</v>
      </c>
      <c r="R75" s="2324" t="s">
        <v>2391</v>
      </c>
    </row>
    <row r="76" spans="1:18" s="1957" customFormat="1" ht="20.25" thickBot="1">
      <c r="A76" s="1994"/>
      <c r="B76" s="1995"/>
      <c r="C76" s="1995"/>
      <c r="K76" s="1984"/>
      <c r="O76" s="2322" t="s">
        <v>2413</v>
      </c>
      <c r="P76" s="2320" t="s">
        <v>2392</v>
      </c>
      <c r="Q76" s="2321">
        <f ca="1">L60</f>
        <v>0</v>
      </c>
      <c r="R76" s="2324" t="s">
        <v>2393</v>
      </c>
    </row>
    <row r="77" spans="1:18" s="1957" customFormat="1" ht="15.75" thickBot="1">
      <c r="A77" s="1994"/>
      <c r="B77" s="1995"/>
      <c r="C77" s="1995"/>
      <c r="K77" s="1984"/>
      <c r="O77" s="2319" t="s">
        <v>2387</v>
      </c>
      <c r="P77" s="2320" t="s">
        <v>2404</v>
      </c>
      <c r="Q77" s="2321" t="e">
        <f ca="1">Q67+Q68</f>
        <v>#DIV/0!</v>
      </c>
      <c r="R77" s="2324" t="s">
        <v>2388</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56.25">
      <c r="A7" s="1700" t="s">
        <v>2746</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2930</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18.75">
      <c r="A21" s="1696" t="s">
        <v>2072</v>
      </c>
    </row>
    <row r="22" spans="1:1" ht="75">
      <c r="A22" s="16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惠湾国用（2012）第号]、，土地终止日期为住宅2081年11月10日、商业2051年11月10日地下车库2061年11月10日。截至估价期日，出让国有建设用地使用权剩余土地使用年限为。</v>
      </c>
    </row>
    <row r="23" spans="1:1" ht="18.75">
      <c r="A23" s="1696" t="str">
        <f>IF(项目基本情况!B16="出让","本次评估设定估价对象剩余土地使用年限为"&amp;项目基本情况!D20&amp;"。","")</f>
        <v>本次评估设定估价对象剩余土地使用年限为。</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S50" sqref="S50"/>
    </sheetView>
  </sheetViews>
  <sheetFormatPr defaultColWidth="9" defaultRowHeight="12.75"/>
  <cols>
    <col min="1" max="1" width="9" style="2577"/>
    <col min="2" max="6" width="9" style="2577" customWidth="1"/>
    <col min="7" max="7" width="9" style="2593" customWidth="1"/>
    <col min="8" max="12" width="9" style="2577" customWidth="1"/>
    <col min="13" max="13" width="2.25" style="2577" customWidth="1"/>
    <col min="14" max="14" width="9" style="2593" customWidth="1"/>
    <col min="15" max="17" width="9" style="2577" customWidth="1"/>
    <col min="18" max="18" width="2.375" style="2577" customWidth="1"/>
    <col min="19" max="19" width="7.125" style="2593" customWidth="1"/>
    <col min="20" max="22" width="7.125" style="2577" customWidth="1"/>
    <col min="23" max="23" width="24" style="2577" customWidth="1"/>
    <col min="24" max="25" width="9" style="2577"/>
    <col min="26" max="27" width="11.625" style="2577" customWidth="1"/>
    <col min="28" max="28" width="9" style="2577"/>
    <col min="29" max="29" width="2" style="2577" customWidth="1"/>
    <col min="30" max="16384" width="9" style="2577"/>
  </cols>
  <sheetData>
    <row r="1" spans="1:34" s="2567" customFormat="1">
      <c r="B1" s="3620" t="s">
        <v>2573</v>
      </c>
      <c r="C1" s="3620"/>
      <c r="D1" s="3620"/>
      <c r="E1" s="3620"/>
      <c r="F1" s="3620"/>
      <c r="G1" s="3619" t="s">
        <v>2574</v>
      </c>
      <c r="H1" s="3619"/>
      <c r="I1" s="3619"/>
      <c r="J1" s="3619"/>
      <c r="K1" s="3619"/>
      <c r="L1" s="3619"/>
      <c r="N1" s="3619" t="s">
        <v>2575</v>
      </c>
      <c r="O1" s="3619"/>
      <c r="P1" s="3619"/>
      <c r="Q1" s="3619"/>
      <c r="R1" s="2568"/>
      <c r="S1" s="3619" t="s">
        <v>2576</v>
      </c>
      <c r="T1" s="3619"/>
      <c r="U1" s="3619"/>
      <c r="V1" s="3619"/>
      <c r="X1" s="3618" t="s">
        <v>2637</v>
      </c>
      <c r="Y1" s="3619"/>
      <c r="Z1" s="3619"/>
      <c r="AA1" s="3619"/>
      <c r="AB1" s="3619"/>
      <c r="AD1" s="3618" t="s">
        <v>2642</v>
      </c>
      <c r="AE1" s="3619"/>
      <c r="AF1" s="3619"/>
      <c r="AG1" s="3619"/>
      <c r="AH1" s="3619"/>
    </row>
    <row r="2" spans="1:34" s="2670" customFormat="1" ht="14.25" thickBot="1">
      <c r="B2" s="2679" t="s">
        <v>2577</v>
      </c>
      <c r="C2" s="2679" t="s">
        <v>2640</v>
      </c>
      <c r="D2" s="2671" t="s">
        <v>1643</v>
      </c>
      <c r="E2" s="2671" t="s">
        <v>1950</v>
      </c>
      <c r="F2" s="2679" t="s">
        <v>2641</v>
      </c>
      <c r="G2" s="2674"/>
      <c r="H2" s="2673"/>
      <c r="I2" s="2679" t="s">
        <v>2946</v>
      </c>
      <c r="J2" s="2671" t="s">
        <v>2948</v>
      </c>
      <c r="K2" s="2671" t="s">
        <v>2949</v>
      </c>
      <c r="L2" s="2679" t="s">
        <v>2950</v>
      </c>
      <c r="N2" s="2679" t="s">
        <v>2577</v>
      </c>
      <c r="O2" s="2671" t="s">
        <v>2947</v>
      </c>
      <c r="P2" s="2671" t="s">
        <v>1950</v>
      </c>
      <c r="Q2" s="2679" t="s">
        <v>2641</v>
      </c>
      <c r="R2" s="2672"/>
      <c r="S2" s="2679" t="s">
        <v>2577</v>
      </c>
      <c r="T2" s="2671" t="s">
        <v>2947</v>
      </c>
      <c r="U2" s="2671" t="s">
        <v>1950</v>
      </c>
      <c r="V2" s="2679" t="s">
        <v>2641</v>
      </c>
      <c r="X2" s="2679" t="s">
        <v>2577</v>
      </c>
      <c r="Y2" s="2679" t="s">
        <v>2640</v>
      </c>
      <c r="Z2" s="2671" t="s">
        <v>1643</v>
      </c>
      <c r="AA2" s="2671" t="s">
        <v>1950</v>
      </c>
      <c r="AB2" s="2679" t="s">
        <v>2641</v>
      </c>
      <c r="AD2" s="2679" t="s">
        <v>2577</v>
      </c>
      <c r="AE2" s="2679" t="s">
        <v>2640</v>
      </c>
      <c r="AF2" s="2671" t="s">
        <v>1643</v>
      </c>
      <c r="AG2" s="2671" t="s">
        <v>1950</v>
      </c>
      <c r="AH2" s="2679" t="s">
        <v>2641</v>
      </c>
    </row>
    <row r="3" spans="1:34" s="2663" customFormat="1" ht="14.25">
      <c r="B3" s="2664"/>
      <c r="C3" s="2664"/>
      <c r="D3" s="2665"/>
      <c r="E3" s="2665"/>
      <c r="F3" s="2664"/>
      <c r="G3" s="2669"/>
      <c r="H3" s="2666"/>
      <c r="I3" s="3046"/>
      <c r="J3" s="3046"/>
      <c r="K3" s="3046"/>
      <c r="L3" s="3046"/>
      <c r="N3" s="2669"/>
      <c r="O3" s="2667"/>
      <c r="P3" s="2667"/>
      <c r="Q3" s="2667"/>
      <c r="R3" s="2667"/>
      <c r="S3" s="2669"/>
      <c r="T3" s="2667"/>
      <c r="U3" s="2667"/>
      <c r="V3" s="2667"/>
      <c r="X3" s="2668">
        <f>ROUND(SUMPRODUCT(PRODUCT(1+N3:N$19)),4)</f>
        <v>1.4742</v>
      </c>
      <c r="Y3" s="2668">
        <f>ROUND(SUMPRODUCT(PRODUCT(1+O3:O$19)),4)</f>
        <v>1.2875000000000001</v>
      </c>
      <c r="Z3" s="2668">
        <f t="shared" ref="Z3:Z17" si="0">Y3</f>
        <v>1.2875000000000001</v>
      </c>
      <c r="AA3" s="2668">
        <f>ROUND(SUMPRODUCT(PRODUCT(1+P3:P$19)),4)</f>
        <v>1.5399</v>
      </c>
      <c r="AB3" s="2668">
        <f>ROUND(SUMPRODUCT(PRODUCT(1+Q3:Q$19)),4)</f>
        <v>1.2475000000000001</v>
      </c>
      <c r="AD3" s="2588">
        <f>ROUND(AVERAGE(I3:I$20)/100,4)</f>
        <v>2.4899999999999999E-2</v>
      </c>
      <c r="AE3" s="2588">
        <f>ROUND(AVERAGE(J3:J$20)/100,4)</f>
        <v>1.6400000000000001E-2</v>
      </c>
      <c r="AF3" s="2588">
        <f t="shared" ref="AF3:AF18" si="1">AE3</f>
        <v>1.6400000000000001E-2</v>
      </c>
      <c r="AG3" s="2588">
        <f>ROUND(AVERAGE(K3:K$20)/100,4)</f>
        <v>2.7799999999999998E-2</v>
      </c>
      <c r="AH3" s="2588">
        <f>ROUND(AVERAGE(L3:L$20)/100,4)</f>
        <v>1.3899999999999999E-2</v>
      </c>
    </row>
    <row r="4" spans="1:34" s="2663" customFormat="1" ht="13.5" thickBot="1">
      <c r="A4" s="2569" t="s">
        <v>2958</v>
      </c>
      <c r="B4" s="2583">
        <f>B5*(1+N4)</f>
        <v>453.57903691012211</v>
      </c>
      <c r="C4" s="2583">
        <f t="shared" ref="C4" si="2">C5*(1+O4)</f>
        <v>331.18001284964259</v>
      </c>
      <c r="D4" s="2583">
        <f t="shared" ref="D4:D9" si="3">C4</f>
        <v>331.18001284964259</v>
      </c>
      <c r="E4" s="2583">
        <f t="shared" ref="E4" si="4">E5*(1+P4)</f>
        <v>650.68458238034486</v>
      </c>
      <c r="F4" s="2583">
        <f t="shared" ref="F4" si="5">F5*(1+Q4)</f>
        <v>287.29097305893981</v>
      </c>
      <c r="G4" s="2669">
        <v>2018</v>
      </c>
      <c r="H4" s="2666">
        <v>1</v>
      </c>
      <c r="I4" s="3046">
        <f>ROUND(AVERAGE(I5:I20),2)</f>
        <v>2.4900000000000002</v>
      </c>
      <c r="J4" s="3046">
        <f t="shared" ref="J4:L4" si="6">ROUND(AVERAGE(J5:J20),2)</f>
        <v>1.64</v>
      </c>
      <c r="K4" s="3046">
        <f t="shared" si="6"/>
        <v>2.78</v>
      </c>
      <c r="L4" s="3046">
        <f t="shared" si="6"/>
        <v>1.39</v>
      </c>
      <c r="N4" s="3044">
        <f t="shared" ref="N4:N9" si="7">I4/100</f>
        <v>2.4900000000000002E-2</v>
      </c>
      <c r="O4" s="3045">
        <f t="shared" ref="O4" si="8">J4/100</f>
        <v>1.6399999999999998E-2</v>
      </c>
      <c r="P4" s="3045">
        <f t="shared" ref="P4" si="9">K4/100</f>
        <v>2.7799999999999998E-2</v>
      </c>
      <c r="Q4" s="3045">
        <f t="shared" ref="Q4" si="10">L4/100</f>
        <v>1.3899999999999999E-2</v>
      </c>
      <c r="R4" s="2667"/>
      <c r="S4" s="2669"/>
      <c r="T4" s="2667"/>
      <c r="U4" s="2667"/>
      <c r="V4" s="2667"/>
      <c r="X4" s="2668"/>
      <c r="Y4" s="2668"/>
      <c r="Z4" s="2668"/>
      <c r="AA4" s="2668"/>
      <c r="AB4" s="2668"/>
      <c r="AD4" s="2588"/>
      <c r="AE4" s="2588"/>
      <c r="AF4" s="2588"/>
      <c r="AG4" s="2588"/>
      <c r="AH4" s="2588"/>
    </row>
    <row r="5" spans="1:34" s="3029" customFormat="1">
      <c r="A5" s="3027" t="s">
        <v>2957</v>
      </c>
      <c r="B5" s="2710">
        <f t="shared" ref="B5" si="11">B6*(1+N5)</f>
        <v>442.55931008890832</v>
      </c>
      <c r="C5" s="2710">
        <f t="shared" ref="C5" si="12">C6*(1+O5)</f>
        <v>325.83629756950273</v>
      </c>
      <c r="D5" s="2710">
        <f t="shared" si="3"/>
        <v>325.83629756950273</v>
      </c>
      <c r="E5" s="2710">
        <f t="shared" ref="E5" si="13">E6*(1+P5)</f>
        <v>633.08482426575677</v>
      </c>
      <c r="F5" s="2710">
        <f t="shared" ref="F5" si="14">F6*(1+Q5)</f>
        <v>283.35237504580311</v>
      </c>
      <c r="G5" s="3627">
        <v>2017</v>
      </c>
      <c r="H5" s="3028">
        <v>4</v>
      </c>
      <c r="I5" s="3047">
        <f>ROUND(AVERAGE(I6:I20),2)</f>
        <v>2.4900000000000002</v>
      </c>
      <c r="J5" s="3047">
        <f>ROUND(AVERAGE(J6:J20),2)</f>
        <v>1.64</v>
      </c>
      <c r="K5" s="3047">
        <f>ROUND(AVERAGE(K6:K20),2)</f>
        <v>2.78</v>
      </c>
      <c r="L5" s="3047">
        <f>ROUND(AVERAGE(L6:L20),2)</f>
        <v>1.39</v>
      </c>
      <c r="N5" s="2676">
        <f t="shared" si="7"/>
        <v>2.4900000000000002E-2</v>
      </c>
      <c r="O5" s="2676">
        <f t="shared" ref="O5" si="15">J5/100</f>
        <v>1.6399999999999998E-2</v>
      </c>
      <c r="P5" s="2676">
        <f t="shared" ref="P5" si="16">K5/100</f>
        <v>2.7799999999999998E-2</v>
      </c>
      <c r="Q5" s="2676">
        <f t="shared" ref="Q5" si="17">L5/100</f>
        <v>1.3899999999999999E-2</v>
      </c>
      <c r="R5" s="3030"/>
      <c r="S5" s="3031"/>
      <c r="T5" s="3030"/>
      <c r="U5" s="3030"/>
      <c r="V5" s="3030"/>
      <c r="W5" s="2677" t="s">
        <v>2638</v>
      </c>
      <c r="X5" s="3032">
        <f>ROUND(SUMPRODUCT(PRODUCT(1+N5:N$19)),4)</f>
        <v>1.4383999999999999</v>
      </c>
      <c r="Y5" s="3032">
        <f>ROUND(SUMPRODUCT(PRODUCT(1+O5:O$19)),4)</f>
        <v>1.2667999999999999</v>
      </c>
      <c r="Z5" s="3032">
        <f t="shared" si="0"/>
        <v>1.2667999999999999</v>
      </c>
      <c r="AA5" s="3032">
        <f>ROUND(SUMPRODUCT(PRODUCT(1+P5:P$19)),4)</f>
        <v>1.4982</v>
      </c>
      <c r="AB5" s="3032">
        <f>ROUND(SUMPRODUCT(PRODUCT(1+Q5:Q$19)),4)</f>
        <v>1.2303999999999999</v>
      </c>
      <c r="AD5" s="3033">
        <f>ROUND(AVERAGE(I5:I$20)/100,4)</f>
        <v>2.4899999999999999E-2</v>
      </c>
      <c r="AE5" s="3033">
        <f>ROUND(AVERAGE(J5:J$20)/100,4)</f>
        <v>1.6400000000000001E-2</v>
      </c>
      <c r="AF5" s="3033">
        <f t="shared" si="1"/>
        <v>1.6400000000000001E-2</v>
      </c>
      <c r="AG5" s="3033">
        <f>ROUND(AVERAGE(K5:K$20)/100,4)</f>
        <v>2.7799999999999998E-2</v>
      </c>
      <c r="AH5" s="3033">
        <f>ROUND(AVERAGE(L5:L$20)/100,4)</f>
        <v>1.3899999999999999E-2</v>
      </c>
    </row>
    <row r="6" spans="1:34" s="3029" customFormat="1">
      <c r="A6" s="2569" t="s">
        <v>2578</v>
      </c>
      <c r="B6" s="2583">
        <f t="shared" ref="B6:C8" si="18">B7*(1+N6)</f>
        <v>431.80730811680002</v>
      </c>
      <c r="C6" s="2583">
        <f t="shared" si="18"/>
        <v>320.57880516480003</v>
      </c>
      <c r="D6" s="2583">
        <f t="shared" si="3"/>
        <v>320.57880516480003</v>
      </c>
      <c r="E6" s="2583">
        <f t="shared" ref="E6:F8" si="19">E7*(1+P6)</f>
        <v>615.96110553196797</v>
      </c>
      <c r="F6" s="2583">
        <f t="shared" si="19"/>
        <v>279.46777300108801</v>
      </c>
      <c r="G6" s="3622"/>
      <c r="H6" s="2573">
        <v>3</v>
      </c>
      <c r="I6" s="2573">
        <v>2.98</v>
      </c>
      <c r="J6" s="2573">
        <v>2.11</v>
      </c>
      <c r="K6" s="2573">
        <v>3.24</v>
      </c>
      <c r="L6" s="2584">
        <v>1.72</v>
      </c>
      <c r="N6" s="2578">
        <f t="shared" si="7"/>
        <v>2.98E-2</v>
      </c>
      <c r="O6" s="2579">
        <f t="shared" ref="O6:O7" si="20">J6/100</f>
        <v>2.1099999999999997E-2</v>
      </c>
      <c r="P6" s="2579">
        <f t="shared" ref="P6:P7" si="21">K6/100</f>
        <v>3.2400000000000005E-2</v>
      </c>
      <c r="Q6" s="2579">
        <f t="shared" ref="Q6:Q7" si="22">L6/100</f>
        <v>1.72E-2</v>
      </c>
      <c r="R6" s="3030"/>
      <c r="S6" s="2572"/>
      <c r="T6" s="3043"/>
      <c r="U6" s="3043"/>
      <c r="V6" s="3043"/>
      <c r="W6" s="2567"/>
      <c r="X6" s="2668">
        <f>ROUND(SUMPRODUCT(PRODUCT(1+N6:N$19)),4)</f>
        <v>1.4034</v>
      </c>
      <c r="Y6" s="2668">
        <f>ROUND(SUMPRODUCT(PRODUCT(1+O6:O$19)),4)</f>
        <v>1.2463</v>
      </c>
      <c r="Z6" s="2668">
        <f t="shared" si="0"/>
        <v>1.2463</v>
      </c>
      <c r="AA6" s="2668">
        <f>ROUND(SUMPRODUCT(PRODUCT(1+P6:P$19)),4)</f>
        <v>1.4577</v>
      </c>
      <c r="AB6" s="2668">
        <f>ROUND(SUMPRODUCT(PRODUCT(1+Q6:Q$19)),4)</f>
        <v>1.2136</v>
      </c>
      <c r="AC6" s="2567"/>
      <c r="AD6" s="2588">
        <f>ROUND(AVERAGE(I6:I$20)/100,4)</f>
        <v>2.4899999999999999E-2</v>
      </c>
      <c r="AE6" s="2588">
        <f>ROUND(AVERAGE(J6:J$20)/100,4)</f>
        <v>1.6400000000000001E-2</v>
      </c>
      <c r="AF6" s="2588">
        <f t="shared" si="1"/>
        <v>1.6400000000000001E-2</v>
      </c>
      <c r="AG6" s="2588">
        <f>ROUND(AVERAGE(K6:K$20)/100,4)</f>
        <v>2.7799999999999998E-2</v>
      </c>
      <c r="AH6" s="2588">
        <f>ROUND(AVERAGE(L6:L$20)/100,4)</f>
        <v>1.3899999999999999E-2</v>
      </c>
    </row>
    <row r="7" spans="1:34" s="2567" customFormat="1">
      <c r="A7" s="2569" t="s">
        <v>2579</v>
      </c>
      <c r="B7" s="2583">
        <f t="shared" si="18"/>
        <v>419.31181600000002</v>
      </c>
      <c r="C7" s="2583">
        <f t="shared" si="18"/>
        <v>313.95436800000004</v>
      </c>
      <c r="D7" s="2583">
        <f t="shared" si="3"/>
        <v>313.95436800000004</v>
      </c>
      <c r="E7" s="2583">
        <f t="shared" si="19"/>
        <v>596.63028431999999</v>
      </c>
      <c r="F7" s="2583">
        <f t="shared" si="19"/>
        <v>274.74220703999998</v>
      </c>
      <c r="G7" s="3622"/>
      <c r="H7" s="2574">
        <v>2</v>
      </c>
      <c r="I7" s="2574">
        <v>3.4</v>
      </c>
      <c r="J7" s="2574">
        <v>2</v>
      </c>
      <c r="K7" s="2574">
        <v>3.82</v>
      </c>
      <c r="L7" s="2585">
        <v>1.68</v>
      </c>
      <c r="N7" s="2578">
        <f t="shared" si="7"/>
        <v>3.4000000000000002E-2</v>
      </c>
      <c r="O7" s="2579">
        <f t="shared" si="20"/>
        <v>0.02</v>
      </c>
      <c r="P7" s="2579">
        <f t="shared" si="21"/>
        <v>3.8199999999999998E-2</v>
      </c>
      <c r="Q7" s="2579">
        <f t="shared" si="22"/>
        <v>1.6799999999999999E-2</v>
      </c>
      <c r="R7" s="2568"/>
      <c r="S7" s="2572"/>
      <c r="T7" s="2568"/>
      <c r="U7" s="2568"/>
      <c r="V7" s="2568"/>
      <c r="X7" s="2668">
        <f>ROUND(SUMPRODUCT(PRODUCT(1+N7:N$19)),4)</f>
        <v>1.3628</v>
      </c>
      <c r="Y7" s="2668">
        <f>ROUND(SUMPRODUCT(PRODUCT(1+O7:O$19)),4)</f>
        <v>1.2205999999999999</v>
      </c>
      <c r="Z7" s="2668">
        <f t="shared" si="0"/>
        <v>1.2205999999999999</v>
      </c>
      <c r="AA7" s="2668">
        <f>ROUND(SUMPRODUCT(PRODUCT(1+P7:P$19)),4)</f>
        <v>1.4118999999999999</v>
      </c>
      <c r="AB7" s="2668">
        <f>ROUND(SUMPRODUCT(PRODUCT(1+Q7:Q$19)),4)</f>
        <v>1.1930000000000001</v>
      </c>
      <c r="AD7" s="2588">
        <f>ROUND(AVERAGE(I7:I$20)/100,4)</f>
        <v>2.46E-2</v>
      </c>
      <c r="AE7" s="2588">
        <f>ROUND(AVERAGE(J7:J$20)/100,4)</f>
        <v>1.6E-2</v>
      </c>
      <c r="AF7" s="2588">
        <f t="shared" si="1"/>
        <v>1.6E-2</v>
      </c>
      <c r="AG7" s="2588">
        <f>ROUND(AVERAGE(K7:K$20)/100,4)</f>
        <v>2.75E-2</v>
      </c>
      <c r="AH7" s="2588">
        <f>ROUND(AVERAGE(L7:L$20)/100,4)</f>
        <v>1.37E-2</v>
      </c>
    </row>
    <row r="8" spans="1:34" s="2675" customFormat="1" ht="13.5" thickBot="1">
      <c r="A8" s="2569" t="s">
        <v>2580</v>
      </c>
      <c r="B8" s="2583">
        <f t="shared" si="18"/>
        <v>405.524</v>
      </c>
      <c r="C8" s="2583">
        <f t="shared" si="18"/>
        <v>307.79840000000002</v>
      </c>
      <c r="D8" s="2583">
        <f t="shared" si="3"/>
        <v>307.79840000000002</v>
      </c>
      <c r="E8" s="2583">
        <f t="shared" si="19"/>
        <v>574.67759999999998</v>
      </c>
      <c r="F8" s="2583">
        <f t="shared" si="19"/>
        <v>270.20280000000002</v>
      </c>
      <c r="G8" s="3623"/>
      <c r="H8" s="2573">
        <v>1</v>
      </c>
      <c r="I8" s="2573">
        <v>3.45</v>
      </c>
      <c r="J8" s="2573">
        <v>1.92</v>
      </c>
      <c r="K8" s="2573">
        <v>3.92</v>
      </c>
      <c r="L8" s="2584">
        <v>1.58</v>
      </c>
      <c r="M8" s="2577"/>
      <c r="N8" s="2578">
        <f t="shared" si="7"/>
        <v>3.4500000000000003E-2</v>
      </c>
      <c r="O8" s="2579">
        <f t="shared" ref="O8" si="23">J8/100</f>
        <v>1.9199999999999998E-2</v>
      </c>
      <c r="P8" s="2579">
        <f t="shared" ref="P8" si="24">K8/100</f>
        <v>3.9199999999999999E-2</v>
      </c>
      <c r="Q8" s="2579">
        <f t="shared" ref="Q8" si="25">L8/100</f>
        <v>1.5800000000000002E-2</v>
      </c>
      <c r="R8" s="2580"/>
      <c r="S8" s="2586">
        <f>B8/B9-1</f>
        <v>3.4499999999999975E-2</v>
      </c>
      <c r="T8" s="2587">
        <f>C8/C9-1</f>
        <v>1.9200000000000106E-2</v>
      </c>
      <c r="U8" s="2587">
        <f>E8/E9-1</f>
        <v>3.9199999999999902E-2</v>
      </c>
      <c r="V8" s="2587">
        <f>F8/F9-1</f>
        <v>1.5800000000000036E-2</v>
      </c>
      <c r="W8" s="2577"/>
      <c r="X8" s="2668">
        <f>ROUND(SUMPRODUCT(PRODUCT(1+N8:N$19)),4)</f>
        <v>1.3180000000000001</v>
      </c>
      <c r="Y8" s="2668">
        <f>ROUND(SUMPRODUCT(PRODUCT(1+O8:O$19)),4)</f>
        <v>1.1966000000000001</v>
      </c>
      <c r="Z8" s="2668">
        <f t="shared" si="0"/>
        <v>1.1966000000000001</v>
      </c>
      <c r="AA8" s="2668">
        <f>ROUND(SUMPRODUCT(PRODUCT(1+P8:P$19)),4)</f>
        <v>1.36</v>
      </c>
      <c r="AB8" s="2668">
        <f>ROUND(SUMPRODUCT(PRODUCT(1+Q8:Q$19)),4)</f>
        <v>1.1733</v>
      </c>
      <c r="AC8" s="2577"/>
      <c r="AD8" s="2588">
        <f>ROUND(AVERAGE(I8:I$20)/100,4)</f>
        <v>2.3900000000000001E-2</v>
      </c>
      <c r="AE8" s="2588">
        <f>ROUND(AVERAGE(J8:J$20)/100,4)</f>
        <v>1.5699999999999999E-2</v>
      </c>
      <c r="AF8" s="2588">
        <f t="shared" si="1"/>
        <v>1.5699999999999999E-2</v>
      </c>
      <c r="AG8" s="2588">
        <f>ROUND(AVERAGE(K8:K$20)/100,4)</f>
        <v>2.6599999999999999E-2</v>
      </c>
      <c r="AH8" s="2588">
        <f>ROUND(AVERAGE(L8:L$20)/100,4)</f>
        <v>1.34E-2</v>
      </c>
    </row>
    <row r="9" spans="1:34">
      <c r="A9" s="2569" t="s">
        <v>969</v>
      </c>
      <c r="B9" s="2575">
        <v>392</v>
      </c>
      <c r="C9" s="2575">
        <v>302</v>
      </c>
      <c r="D9" s="2575">
        <f t="shared" si="3"/>
        <v>302</v>
      </c>
      <c r="E9" s="2575">
        <v>553</v>
      </c>
      <c r="F9" s="2576">
        <v>266</v>
      </c>
      <c r="G9" s="3627">
        <v>2016</v>
      </c>
      <c r="H9" s="2570">
        <v>4</v>
      </c>
      <c r="I9" s="2570">
        <v>4.5599999999999996</v>
      </c>
      <c r="J9" s="2570">
        <v>2.15</v>
      </c>
      <c r="K9" s="2570">
        <v>5.32</v>
      </c>
      <c r="L9" s="2571">
        <v>1.57</v>
      </c>
      <c r="N9" s="2578">
        <f t="shared" si="7"/>
        <v>4.5599999999999995E-2</v>
      </c>
      <c r="O9" s="2579">
        <f t="shared" ref="O9:Q24" si="26">J9/100</f>
        <v>2.1499999999999998E-2</v>
      </c>
      <c r="P9" s="2579">
        <f t="shared" si="26"/>
        <v>5.3200000000000004E-2</v>
      </c>
      <c r="Q9" s="2579">
        <f t="shared" si="26"/>
        <v>1.5700000000000002E-2</v>
      </c>
      <c r="R9" s="2580"/>
      <c r="S9" s="2581"/>
      <c r="T9" s="2582"/>
      <c r="U9" s="2582"/>
      <c r="V9" s="2582"/>
      <c r="X9" s="2668">
        <f>ROUND(SUMPRODUCT(PRODUCT(1+N9:N$19)),4)</f>
        <v>1.274</v>
      </c>
      <c r="Y9" s="2668">
        <f>ROUND(SUMPRODUCT(PRODUCT(1+O9:O$19)),4)</f>
        <v>1.1740999999999999</v>
      </c>
      <c r="Z9" s="2668">
        <f t="shared" si="0"/>
        <v>1.1740999999999999</v>
      </c>
      <c r="AA9" s="2668">
        <f>ROUND(SUMPRODUCT(PRODUCT(1+P9:P$19)),4)</f>
        <v>1.3087</v>
      </c>
      <c r="AB9" s="2668">
        <f>ROUND(SUMPRODUCT(PRODUCT(1+Q9:Q$19)),4)</f>
        <v>1.1551</v>
      </c>
      <c r="AD9" s="2588">
        <f>ROUND(AVERAGE(I9:I$20)/100,4)</f>
        <v>2.3E-2</v>
      </c>
      <c r="AE9" s="2588">
        <f>ROUND(AVERAGE(J9:J$20)/100,4)</f>
        <v>1.55E-2</v>
      </c>
      <c r="AF9" s="2588">
        <f t="shared" si="1"/>
        <v>1.55E-2</v>
      </c>
      <c r="AG9" s="2588">
        <f>ROUND(AVERAGE(K9:K$20)/100,4)</f>
        <v>2.5600000000000001E-2</v>
      </c>
      <c r="AH9" s="2588">
        <f>ROUND(AVERAGE(L9:L$20)/100,4)</f>
        <v>1.32E-2</v>
      </c>
    </row>
    <row r="10" spans="1:34">
      <c r="A10" s="2569" t="s">
        <v>968</v>
      </c>
      <c r="B10" s="2583">
        <f t="shared" ref="B10:C12" si="27">B9/(1+N9)</f>
        <v>374.90436113236416</v>
      </c>
      <c r="C10" s="2583">
        <f t="shared" si="27"/>
        <v>295.64366128242779</v>
      </c>
      <c r="D10" s="2583">
        <f t="shared" ref="D10:D69" si="28">C10</f>
        <v>295.64366128242779</v>
      </c>
      <c r="E10" s="2583">
        <f t="shared" ref="E10:F12" si="29">E9/(1+P9)</f>
        <v>525.06646410938095</v>
      </c>
      <c r="F10" s="2583">
        <f t="shared" si="29"/>
        <v>261.88835286009646</v>
      </c>
      <c r="G10" s="3622"/>
      <c r="H10" s="2573">
        <v>3</v>
      </c>
      <c r="I10" s="2573">
        <v>4.12</v>
      </c>
      <c r="J10" s="2573">
        <v>2</v>
      </c>
      <c r="K10" s="2573">
        <v>4.79</v>
      </c>
      <c r="L10" s="2584">
        <v>1.97</v>
      </c>
      <c r="N10" s="2578">
        <f t="shared" ref="N10:Q44" si="30">I10/100</f>
        <v>4.1200000000000001E-2</v>
      </c>
      <c r="O10" s="2579">
        <f t="shared" si="26"/>
        <v>0.02</v>
      </c>
      <c r="P10" s="2579">
        <f t="shared" si="26"/>
        <v>4.7899999999999998E-2</v>
      </c>
      <c r="Q10" s="2579">
        <f t="shared" si="26"/>
        <v>1.9699999999999999E-2</v>
      </c>
      <c r="R10" s="2580"/>
      <c r="S10" s="2578"/>
      <c r="T10" s="2579"/>
      <c r="U10" s="2579"/>
      <c r="V10" s="2579"/>
      <c r="X10" s="2668">
        <f>ROUND(SUMPRODUCT(PRODUCT(1+N10:N$19)),4)</f>
        <v>1.2184999999999999</v>
      </c>
      <c r="Y10" s="2668">
        <f>ROUND(SUMPRODUCT(PRODUCT(1+O10:O$19)),4)</f>
        <v>1.1494</v>
      </c>
      <c r="Z10" s="2668">
        <f t="shared" si="0"/>
        <v>1.1494</v>
      </c>
      <c r="AA10" s="2668">
        <f>ROUND(SUMPRODUCT(PRODUCT(1+P10:P$19)),4)</f>
        <v>1.2425999999999999</v>
      </c>
      <c r="AB10" s="2668">
        <f>ROUND(SUMPRODUCT(PRODUCT(1+Q10:Q$19)),4)</f>
        <v>1.1372</v>
      </c>
      <c r="AD10" s="2588">
        <f>ROUND(AVERAGE(I10:I$20)/100,4)</f>
        <v>2.0899999999999998E-2</v>
      </c>
      <c r="AE10" s="2588">
        <f>ROUND(AVERAGE(J10:J$20)/100,4)</f>
        <v>1.49E-2</v>
      </c>
      <c r="AF10" s="2588">
        <f t="shared" si="1"/>
        <v>1.49E-2</v>
      </c>
      <c r="AG10" s="2588">
        <f>ROUND(AVERAGE(K10:K$20)/100,4)</f>
        <v>2.3099999999999999E-2</v>
      </c>
      <c r="AH10" s="2588">
        <f>ROUND(AVERAGE(L10:L$20)/100,4)</f>
        <v>1.2999999999999999E-2</v>
      </c>
    </row>
    <row r="11" spans="1:34">
      <c r="A11" s="2569" t="s">
        <v>958</v>
      </c>
      <c r="B11" s="2583">
        <f t="shared" si="27"/>
        <v>360.06949782209392</v>
      </c>
      <c r="C11" s="2583">
        <f t="shared" si="27"/>
        <v>289.84672674747821</v>
      </c>
      <c r="D11" s="2583">
        <f t="shared" si="28"/>
        <v>289.84672674747821</v>
      </c>
      <c r="E11" s="2583">
        <f t="shared" si="29"/>
        <v>501.06543001181495</v>
      </c>
      <c r="F11" s="2583">
        <f t="shared" si="29"/>
        <v>256.82882500744967</v>
      </c>
      <c r="G11" s="3622"/>
      <c r="H11" s="2574">
        <v>2</v>
      </c>
      <c r="I11" s="2574">
        <v>3.85</v>
      </c>
      <c r="J11" s="2574">
        <v>1.95</v>
      </c>
      <c r="K11" s="2574">
        <v>4.4800000000000004</v>
      </c>
      <c r="L11" s="2585">
        <v>1.41</v>
      </c>
      <c r="N11" s="2578">
        <f t="shared" si="30"/>
        <v>3.85E-2</v>
      </c>
      <c r="O11" s="2579">
        <f t="shared" si="26"/>
        <v>1.95E-2</v>
      </c>
      <c r="P11" s="2579">
        <f t="shared" si="26"/>
        <v>4.4800000000000006E-2</v>
      </c>
      <c r="Q11" s="2579">
        <f t="shared" si="26"/>
        <v>1.41E-2</v>
      </c>
      <c r="R11" s="2580"/>
      <c r="S11" s="2578"/>
      <c r="T11" s="2579"/>
      <c r="U11" s="2579"/>
      <c r="V11" s="2579"/>
      <c r="X11" s="2668">
        <f>ROUND(SUMPRODUCT(PRODUCT(1+N11:N$19)),4)</f>
        <v>1.1702999999999999</v>
      </c>
      <c r="Y11" s="2668">
        <f>ROUND(SUMPRODUCT(PRODUCT(1+O11:O$19)),4)</f>
        <v>1.1269</v>
      </c>
      <c r="Z11" s="2668">
        <f t="shared" si="0"/>
        <v>1.1269</v>
      </c>
      <c r="AA11" s="2668">
        <f>ROUND(SUMPRODUCT(PRODUCT(1+P11:P$19)),4)</f>
        <v>1.1858</v>
      </c>
      <c r="AB11" s="2668">
        <f>ROUND(SUMPRODUCT(PRODUCT(1+Q11:Q$19)),4)</f>
        <v>1.1152</v>
      </c>
      <c r="AD11" s="2588">
        <f>ROUND(AVERAGE(I11:I$20)/100,4)</f>
        <v>1.89E-2</v>
      </c>
      <c r="AE11" s="2588">
        <f>ROUND(AVERAGE(J11:J$20)/100,4)</f>
        <v>1.44E-2</v>
      </c>
      <c r="AF11" s="2588">
        <f t="shared" si="1"/>
        <v>1.44E-2</v>
      </c>
      <c r="AG11" s="2588">
        <f>ROUND(AVERAGE(K11:K$20)/100,4)</f>
        <v>2.06E-2</v>
      </c>
      <c r="AH11" s="2588">
        <f>ROUND(AVERAGE(L11:L$20)/100,4)</f>
        <v>1.23E-2</v>
      </c>
    </row>
    <row r="12" spans="1:34" ht="13.5" thickBot="1">
      <c r="A12" s="2569" t="s">
        <v>967</v>
      </c>
      <c r="B12" s="2583">
        <f t="shared" si="27"/>
        <v>346.720748986128</v>
      </c>
      <c r="C12" s="2583">
        <f t="shared" si="27"/>
        <v>284.30282172386285</v>
      </c>
      <c r="D12" s="2583">
        <f t="shared" si="28"/>
        <v>284.30282172386285</v>
      </c>
      <c r="E12" s="2583">
        <f t="shared" si="29"/>
        <v>479.58023546306947</v>
      </c>
      <c r="F12" s="2583">
        <f t="shared" si="29"/>
        <v>253.25788877571213</v>
      </c>
      <c r="G12" s="3623"/>
      <c r="H12" s="2573">
        <v>1</v>
      </c>
      <c r="I12" s="2573">
        <v>4.09</v>
      </c>
      <c r="J12" s="2573">
        <v>2.93</v>
      </c>
      <c r="K12" s="2573">
        <v>4.54</v>
      </c>
      <c r="L12" s="2584">
        <v>1.48</v>
      </c>
      <c r="N12" s="2578">
        <f t="shared" si="30"/>
        <v>4.0899999999999999E-2</v>
      </c>
      <c r="O12" s="2579">
        <f t="shared" si="26"/>
        <v>2.9300000000000003E-2</v>
      </c>
      <c r="P12" s="2579">
        <f t="shared" si="26"/>
        <v>4.5400000000000003E-2</v>
      </c>
      <c r="Q12" s="2579">
        <f t="shared" si="26"/>
        <v>1.4800000000000001E-2</v>
      </c>
      <c r="R12" s="2580"/>
      <c r="S12" s="2586">
        <f>B12/B13-1</f>
        <v>4.1203450408792808E-2</v>
      </c>
      <c r="T12" s="2587">
        <f>C12/C13-1</f>
        <v>2.6363977342465095E-2</v>
      </c>
      <c r="U12" s="2587">
        <f>E12/E13-1</f>
        <v>4.4837114298626357E-2</v>
      </c>
      <c r="V12" s="2587">
        <f>F12/F13-1</f>
        <v>1.7099954922538574E-2</v>
      </c>
      <c r="X12" s="2668">
        <f>ROUND(SUMPRODUCT(PRODUCT(1+N12:N$19)),4)</f>
        <v>1.1269</v>
      </c>
      <c r="Y12" s="2668">
        <f>ROUND(SUMPRODUCT(PRODUCT(1+O12:O$19)),4)</f>
        <v>1.1052999999999999</v>
      </c>
      <c r="Z12" s="2668">
        <f t="shared" si="0"/>
        <v>1.1052999999999999</v>
      </c>
      <c r="AA12" s="2668">
        <f>ROUND(SUMPRODUCT(PRODUCT(1+P12:P$19)),4)</f>
        <v>1.1349</v>
      </c>
      <c r="AB12" s="2668">
        <f>ROUND(SUMPRODUCT(PRODUCT(1+Q12:Q$19)),4)</f>
        <v>1.0996999999999999</v>
      </c>
      <c r="AD12" s="2588">
        <f>ROUND(AVERAGE(I12:I$20)/100,4)</f>
        <v>1.67E-2</v>
      </c>
      <c r="AE12" s="2588">
        <f>ROUND(AVERAGE(J12:J$20)/100,4)</f>
        <v>1.38E-2</v>
      </c>
      <c r="AF12" s="2588">
        <f t="shared" si="1"/>
        <v>1.38E-2</v>
      </c>
      <c r="AG12" s="2588">
        <f>ROUND(AVERAGE(K12:K$20)/100,4)</f>
        <v>1.7899999999999999E-2</v>
      </c>
      <c r="AH12" s="2588">
        <f>ROUND(AVERAGE(L12:L$20)/100,4)</f>
        <v>1.21E-2</v>
      </c>
    </row>
    <row r="13" spans="1:34" ht="13.5" thickBot="1">
      <c r="A13" s="2569" t="s">
        <v>966</v>
      </c>
      <c r="B13" s="2575">
        <v>333</v>
      </c>
      <c r="C13" s="2575">
        <v>277</v>
      </c>
      <c r="D13" s="2575">
        <f t="shared" si="28"/>
        <v>277</v>
      </c>
      <c r="E13" s="2575">
        <v>459</v>
      </c>
      <c r="F13" s="2576">
        <v>249</v>
      </c>
      <c r="G13" s="3621">
        <v>2015</v>
      </c>
      <c r="H13" s="2589">
        <v>4</v>
      </c>
      <c r="I13" s="2589">
        <v>1.63</v>
      </c>
      <c r="J13" s="2589">
        <v>1.1100000000000001</v>
      </c>
      <c r="K13" s="2589">
        <v>1.77</v>
      </c>
      <c r="L13" s="2590">
        <v>1.89</v>
      </c>
      <c r="N13" s="2591">
        <f t="shared" si="30"/>
        <v>1.6299999999999999E-2</v>
      </c>
      <c r="O13" s="2592">
        <f t="shared" si="26"/>
        <v>1.11E-2</v>
      </c>
      <c r="P13" s="2592">
        <f t="shared" si="26"/>
        <v>1.77E-2</v>
      </c>
      <c r="Q13" s="2592">
        <f t="shared" si="26"/>
        <v>1.89E-2</v>
      </c>
      <c r="R13" s="2580"/>
      <c r="X13" s="2668">
        <f>ROUND(SUMPRODUCT(PRODUCT(1+N13:N$19)),4)</f>
        <v>1.0826</v>
      </c>
      <c r="Y13" s="2668">
        <f>ROUND(SUMPRODUCT(PRODUCT(1+O13:O$19)),4)</f>
        <v>1.0738000000000001</v>
      </c>
      <c r="Z13" s="2668">
        <f t="shared" si="0"/>
        <v>1.0738000000000001</v>
      </c>
      <c r="AA13" s="2668">
        <f>ROUND(SUMPRODUCT(PRODUCT(1+P13:P$19)),4)</f>
        <v>1.0855999999999999</v>
      </c>
      <c r="AB13" s="2668">
        <f>ROUND(SUMPRODUCT(PRODUCT(1+Q13:Q$19)),4)</f>
        <v>1.0837000000000001</v>
      </c>
      <c r="AD13" s="2588">
        <f>ROUND(AVERAGE(I13:I$20)/100,4)</f>
        <v>1.37E-2</v>
      </c>
      <c r="AE13" s="2588">
        <f>ROUND(AVERAGE(J13:J$20)/100,4)</f>
        <v>1.1900000000000001E-2</v>
      </c>
      <c r="AF13" s="2588">
        <f t="shared" si="1"/>
        <v>1.1900000000000001E-2</v>
      </c>
      <c r="AG13" s="2588">
        <f>ROUND(AVERAGE(K13:K$20)/100,4)</f>
        <v>1.4500000000000001E-2</v>
      </c>
      <c r="AH13" s="2588">
        <f>ROUND(AVERAGE(L13:L$20)/100,4)</f>
        <v>1.18E-2</v>
      </c>
    </row>
    <row r="14" spans="1:34">
      <c r="A14" s="2569" t="s">
        <v>965</v>
      </c>
      <c r="B14" s="2583">
        <f t="shared" ref="B14:C16" si="31">B13/(1+N13)</f>
        <v>327.65915576109415</v>
      </c>
      <c r="C14" s="2583">
        <f t="shared" si="31"/>
        <v>273.95905449510434</v>
      </c>
      <c r="D14" s="2583">
        <f t="shared" si="28"/>
        <v>273.95905449510434</v>
      </c>
      <c r="E14" s="2583">
        <f t="shared" ref="E14:F16" si="32">E13/(1+P13)</f>
        <v>451.01699911565294</v>
      </c>
      <c r="F14" s="2583">
        <f t="shared" si="32"/>
        <v>244.38119540681129</v>
      </c>
      <c r="G14" s="3622"/>
      <c r="H14" s="2594">
        <v>3</v>
      </c>
      <c r="I14" s="2594">
        <v>1.65</v>
      </c>
      <c r="J14" s="2594">
        <v>0.92</v>
      </c>
      <c r="K14" s="2594">
        <v>1.88</v>
      </c>
      <c r="L14" s="2595">
        <v>1.26</v>
      </c>
      <c r="N14" s="2578">
        <f t="shared" si="30"/>
        <v>1.6500000000000001E-2</v>
      </c>
      <c r="O14" s="2596">
        <f t="shared" si="26"/>
        <v>9.1999999999999998E-3</v>
      </c>
      <c r="P14" s="2596">
        <f t="shared" si="26"/>
        <v>1.8799999999999997E-2</v>
      </c>
      <c r="Q14" s="2596">
        <f t="shared" si="26"/>
        <v>1.26E-2</v>
      </c>
      <c r="R14" s="2580"/>
      <c r="S14" s="2578"/>
      <c r="T14" s="2579"/>
      <c r="U14" s="2579"/>
      <c r="V14" s="2579"/>
      <c r="X14" s="2668">
        <f>ROUND(SUMPRODUCT(PRODUCT(1+N14:N$19)),4)</f>
        <v>1.0651999999999999</v>
      </c>
      <c r="Y14" s="2668">
        <f>ROUND(SUMPRODUCT(PRODUCT(1+O14:O$19)),4)</f>
        <v>1.0621</v>
      </c>
      <c r="Z14" s="2668">
        <f t="shared" si="0"/>
        <v>1.0621</v>
      </c>
      <c r="AA14" s="2668">
        <f>ROUND(SUMPRODUCT(PRODUCT(1+P14:P$19)),4)</f>
        <v>1.0668</v>
      </c>
      <c r="AB14" s="2668">
        <f>ROUND(SUMPRODUCT(PRODUCT(1+Q14:Q$19)),4)</f>
        <v>1.0636000000000001</v>
      </c>
      <c r="AD14" s="2588">
        <f>ROUND(AVERAGE(I14:I$20)/100,4)</f>
        <v>1.3299999999999999E-2</v>
      </c>
      <c r="AE14" s="2588">
        <f>ROUND(AVERAGE(J14:J$20)/100,4)</f>
        <v>1.2E-2</v>
      </c>
      <c r="AF14" s="2588">
        <f t="shared" si="1"/>
        <v>1.2E-2</v>
      </c>
      <c r="AG14" s="2588">
        <f>ROUND(AVERAGE(K14:K$20)/100,4)</f>
        <v>1.4E-2</v>
      </c>
      <c r="AH14" s="2588">
        <f>ROUND(AVERAGE(L14:L$20)/100,4)</f>
        <v>1.0800000000000001E-2</v>
      </c>
    </row>
    <row r="15" spans="1:34">
      <c r="A15" s="2569" t="s">
        <v>964</v>
      </c>
      <c r="B15" s="2583">
        <f t="shared" si="31"/>
        <v>322.34053690220776</v>
      </c>
      <c r="C15" s="2583">
        <f t="shared" si="31"/>
        <v>271.46160770422546</v>
      </c>
      <c r="D15" s="2583">
        <f t="shared" si="28"/>
        <v>271.46160770422546</v>
      </c>
      <c r="E15" s="2583">
        <f t="shared" si="32"/>
        <v>442.69434542172456</v>
      </c>
      <c r="F15" s="2583">
        <f t="shared" si="32"/>
        <v>241.34030753190925</v>
      </c>
      <c r="G15" s="3622"/>
      <c r="H15" s="2574">
        <v>2</v>
      </c>
      <c r="I15" s="2574">
        <v>0.77</v>
      </c>
      <c r="J15" s="2574">
        <v>0.69</v>
      </c>
      <c r="K15" s="2574">
        <v>0.8</v>
      </c>
      <c r="L15" s="2585">
        <v>0.88</v>
      </c>
      <c r="N15" s="2578">
        <f t="shared" si="30"/>
        <v>7.7000000000000002E-3</v>
      </c>
      <c r="O15" s="2596">
        <f t="shared" si="26"/>
        <v>6.8999999999999999E-3</v>
      </c>
      <c r="P15" s="2596">
        <f t="shared" si="26"/>
        <v>8.0000000000000002E-3</v>
      </c>
      <c r="Q15" s="2596">
        <f t="shared" si="26"/>
        <v>8.8000000000000005E-3</v>
      </c>
      <c r="R15" s="2580"/>
      <c r="S15" s="2578"/>
      <c r="T15" s="2579"/>
      <c r="U15" s="2579"/>
      <c r="V15" s="2579"/>
      <c r="X15" s="2668">
        <f>ROUND(SUMPRODUCT(PRODUCT(1+N15:N$19)),4)</f>
        <v>1.048</v>
      </c>
      <c r="Y15" s="2668">
        <f>ROUND(SUMPRODUCT(PRODUCT(1+O15:O$19)),4)</f>
        <v>1.0524</v>
      </c>
      <c r="Z15" s="2668">
        <f t="shared" si="0"/>
        <v>1.0524</v>
      </c>
      <c r="AA15" s="2668">
        <f>ROUND(SUMPRODUCT(PRODUCT(1+P15:P$19)),4)</f>
        <v>1.0470999999999999</v>
      </c>
      <c r="AB15" s="2668">
        <f>ROUND(SUMPRODUCT(PRODUCT(1+Q15:Q$19)),4)</f>
        <v>1.0504</v>
      </c>
      <c r="AD15" s="2588">
        <f>ROUND(AVERAGE(I15:I$20)/100,4)</f>
        <v>1.2800000000000001E-2</v>
      </c>
      <c r="AE15" s="2588">
        <f>ROUND(AVERAGE(J15:J$20)/100,4)</f>
        <v>1.2500000000000001E-2</v>
      </c>
      <c r="AF15" s="2588">
        <f t="shared" si="1"/>
        <v>1.2500000000000001E-2</v>
      </c>
      <c r="AG15" s="2588">
        <f>ROUND(AVERAGE(K15:K$20)/100,4)</f>
        <v>1.32E-2</v>
      </c>
      <c r="AH15" s="2588">
        <f>ROUND(AVERAGE(L15:L$20)/100,4)</f>
        <v>1.0500000000000001E-2</v>
      </c>
    </row>
    <row r="16" spans="1:34">
      <c r="A16" s="2569" t="s">
        <v>963</v>
      </c>
      <c r="B16" s="2583">
        <f t="shared" si="31"/>
        <v>319.87748030386797</v>
      </c>
      <c r="C16" s="2583">
        <f t="shared" si="31"/>
        <v>269.60135833173649</v>
      </c>
      <c r="D16" s="2583">
        <f t="shared" si="28"/>
        <v>269.60135833173649</v>
      </c>
      <c r="E16" s="2583">
        <f t="shared" si="32"/>
        <v>439.18089823583784</v>
      </c>
      <c r="F16" s="2583">
        <f t="shared" si="32"/>
        <v>239.23503918706311</v>
      </c>
      <c r="G16" s="3623"/>
      <c r="H16" s="2573">
        <v>1</v>
      </c>
      <c r="I16" s="2573">
        <v>0.51</v>
      </c>
      <c r="J16" s="2573">
        <v>0.54</v>
      </c>
      <c r="K16" s="2573">
        <v>0.48</v>
      </c>
      <c r="L16" s="2584">
        <v>0.93</v>
      </c>
      <c r="N16" s="2586">
        <f t="shared" si="30"/>
        <v>5.1000000000000004E-3</v>
      </c>
      <c r="O16" s="2587">
        <f t="shared" si="26"/>
        <v>5.4000000000000003E-3</v>
      </c>
      <c r="P16" s="2587">
        <f t="shared" si="26"/>
        <v>4.7999999999999996E-3</v>
      </c>
      <c r="Q16" s="2587">
        <f t="shared" si="26"/>
        <v>9.300000000000001E-3</v>
      </c>
      <c r="R16" s="2580"/>
      <c r="S16" s="2586">
        <f>B16/B17-1</f>
        <v>5.9040261127922822E-3</v>
      </c>
      <c r="T16" s="2587">
        <f>C16/C17-1</f>
        <v>5.9752176557332781E-3</v>
      </c>
      <c r="U16" s="2587">
        <f>E16/E17-1</f>
        <v>4.9906138119859556E-3</v>
      </c>
      <c r="V16" s="2587">
        <f>F16/F17-1</f>
        <v>9.4305450930933787E-3</v>
      </c>
      <c r="X16" s="2668">
        <f>ROUND(SUMPRODUCT(PRODUCT(1+N16:N$19)),4)</f>
        <v>1.0399</v>
      </c>
      <c r="Y16" s="2668">
        <f>ROUND(SUMPRODUCT(PRODUCT(1+O16:O$19)),4)</f>
        <v>1.0451999999999999</v>
      </c>
      <c r="Z16" s="2668">
        <f t="shared" si="0"/>
        <v>1.0451999999999999</v>
      </c>
      <c r="AA16" s="2668">
        <f>ROUND(SUMPRODUCT(PRODUCT(1+P16:P$19)),4)</f>
        <v>1.0387999999999999</v>
      </c>
      <c r="AB16" s="2668">
        <f>ROUND(SUMPRODUCT(PRODUCT(1+Q16:Q$19)),4)</f>
        <v>1.0411999999999999</v>
      </c>
      <c r="AD16" s="2588">
        <f>ROUND(AVERAGE(I16:I$20)/100,4)</f>
        <v>1.38E-2</v>
      </c>
      <c r="AE16" s="2588">
        <f>ROUND(AVERAGE(J16:J$20)/100,4)</f>
        <v>1.3599999999999999E-2</v>
      </c>
      <c r="AF16" s="2588">
        <f t="shared" si="1"/>
        <v>1.3599999999999999E-2</v>
      </c>
      <c r="AG16" s="2588">
        <f>ROUND(AVERAGE(K16:K$20)/100,4)</f>
        <v>1.4200000000000001E-2</v>
      </c>
      <c r="AH16" s="2588">
        <f>ROUND(AVERAGE(L16:L$20)/100,4)</f>
        <v>1.0800000000000001E-2</v>
      </c>
    </row>
    <row r="17" spans="1:34" ht="13.5" thickBot="1">
      <c r="A17" s="2569" t="s">
        <v>962</v>
      </c>
      <c r="B17" s="2597">
        <v>318</v>
      </c>
      <c r="C17" s="2597">
        <v>268</v>
      </c>
      <c r="D17" s="2597">
        <f t="shared" si="28"/>
        <v>268</v>
      </c>
      <c r="E17" s="2597">
        <v>437</v>
      </c>
      <c r="F17" s="2598">
        <v>237</v>
      </c>
      <c r="G17" s="3621">
        <v>2014</v>
      </c>
      <c r="H17" s="2589">
        <v>4</v>
      </c>
      <c r="I17" s="2589">
        <v>0.21</v>
      </c>
      <c r="J17" s="2589">
        <v>0.41</v>
      </c>
      <c r="K17" s="2589">
        <v>0.12</v>
      </c>
      <c r="L17" s="2590">
        <v>0.89</v>
      </c>
      <c r="N17" s="2578">
        <f t="shared" si="30"/>
        <v>2.0999999999999999E-3</v>
      </c>
      <c r="O17" s="2579">
        <f t="shared" si="26"/>
        <v>4.0999999999999995E-3</v>
      </c>
      <c r="P17" s="2579">
        <f t="shared" si="26"/>
        <v>1.1999999999999999E-3</v>
      </c>
      <c r="Q17" s="2579">
        <f t="shared" si="26"/>
        <v>8.8999999999999999E-3</v>
      </c>
      <c r="R17" s="2580"/>
      <c r="S17" s="2581"/>
      <c r="T17" s="2582"/>
      <c r="U17" s="2582"/>
      <c r="V17" s="2582"/>
      <c r="X17" s="2668">
        <f>ROUND(SUMPRODUCT(PRODUCT(1+N17:N$19)),4)</f>
        <v>1.0347</v>
      </c>
      <c r="Y17" s="2668">
        <f>ROUND(SUMPRODUCT(PRODUCT(1+O17:O$19)),4)</f>
        <v>1.0395000000000001</v>
      </c>
      <c r="Z17" s="2668">
        <f t="shared" si="0"/>
        <v>1.0395000000000001</v>
      </c>
      <c r="AA17" s="2668">
        <f>ROUND(SUMPRODUCT(PRODUCT(1+P17:P$19)),4)</f>
        <v>1.0338000000000001</v>
      </c>
      <c r="AB17" s="2668">
        <f>ROUND(SUMPRODUCT(PRODUCT(1+Q17:Q$19)),4)</f>
        <v>1.0316000000000001</v>
      </c>
      <c r="AD17" s="2588">
        <f>ROUND(AVERAGE(I17:I$20)/100,4)</f>
        <v>1.6E-2</v>
      </c>
      <c r="AE17" s="2588">
        <f>ROUND(AVERAGE(J17:J$20)/100,4)</f>
        <v>1.5599999999999999E-2</v>
      </c>
      <c r="AF17" s="2588">
        <f t="shared" si="1"/>
        <v>1.5599999999999999E-2</v>
      </c>
      <c r="AG17" s="2588">
        <f>ROUND(AVERAGE(K17:K$20)/100,4)</f>
        <v>1.66E-2</v>
      </c>
      <c r="AH17" s="2588">
        <f>ROUND(AVERAGE(L17:L$20)/100,4)</f>
        <v>1.12E-2</v>
      </c>
    </row>
    <row r="18" spans="1:34">
      <c r="A18" s="2569" t="s">
        <v>961</v>
      </c>
      <c r="B18" s="2583">
        <f t="shared" ref="B18:C20" si="33">B17/(1+N17)</f>
        <v>317.33359944117353</v>
      </c>
      <c r="C18" s="2583">
        <f t="shared" si="33"/>
        <v>266.90568668459315</v>
      </c>
      <c r="D18" s="2583">
        <f t="shared" si="28"/>
        <v>266.90568668459315</v>
      </c>
      <c r="E18" s="2583">
        <f t="shared" ref="E18:F20" si="34">E17/(1+P17)</f>
        <v>436.47622852576905</v>
      </c>
      <c r="F18" s="2583">
        <f t="shared" si="34"/>
        <v>234.90930716622066</v>
      </c>
      <c r="G18" s="3622"/>
      <c r="H18" s="2599">
        <v>3</v>
      </c>
      <c r="I18" s="2599">
        <v>0.83</v>
      </c>
      <c r="J18" s="2599">
        <v>1.47</v>
      </c>
      <c r="K18" s="2599">
        <v>0.65</v>
      </c>
      <c r="L18" s="2600">
        <v>0.72</v>
      </c>
      <c r="N18" s="2578">
        <f t="shared" si="30"/>
        <v>8.3000000000000001E-3</v>
      </c>
      <c r="O18" s="2579">
        <f t="shared" si="26"/>
        <v>1.47E-2</v>
      </c>
      <c r="P18" s="2579">
        <f t="shared" si="26"/>
        <v>6.5000000000000006E-3</v>
      </c>
      <c r="Q18" s="2579">
        <f t="shared" si="26"/>
        <v>7.1999999999999998E-3</v>
      </c>
      <c r="R18" s="2580"/>
      <c r="S18" s="2578"/>
      <c r="T18" s="2579"/>
      <c r="U18" s="2579"/>
      <c r="V18" s="2579"/>
      <c r="X18" s="2668">
        <f>ROUND(SUMPRODUCT(PRODUCT(1+N18:N$19)),4)</f>
        <v>1.0325</v>
      </c>
      <c r="Y18" s="2668">
        <f>ROUND(SUMPRODUCT(PRODUCT(1+O18:O$19)),4)</f>
        <v>1.0353000000000001</v>
      </c>
      <c r="Z18" s="2668">
        <f t="shared" ref="Z18:Z19" si="35">Y18</f>
        <v>1.0353000000000001</v>
      </c>
      <c r="AA18" s="2668">
        <f>ROUND(SUMPRODUCT(PRODUCT(1+P18:P$19)),4)</f>
        <v>1.0326</v>
      </c>
      <c r="AB18" s="2668">
        <f>ROUND(SUMPRODUCT(PRODUCT(1+Q18:Q$19)),4)</f>
        <v>1.0225</v>
      </c>
      <c r="AD18" s="2588">
        <f>ROUND(AVERAGE(I18:I$20)/100,4)</f>
        <v>2.07E-2</v>
      </c>
      <c r="AE18" s="2588">
        <f>ROUND(AVERAGE(J18:J$20)/100,4)</f>
        <v>1.95E-2</v>
      </c>
      <c r="AF18" s="2588">
        <f t="shared" si="1"/>
        <v>1.95E-2</v>
      </c>
      <c r="AG18" s="2588">
        <f>ROUND(AVERAGE(K18:K$20)/100,4)</f>
        <v>2.1700000000000001E-2</v>
      </c>
      <c r="AH18" s="2588">
        <f>ROUND(AVERAGE(L18:L$20)/100,4)</f>
        <v>1.2E-2</v>
      </c>
    </row>
    <row r="19" spans="1:34" ht="13.5" thickBot="1">
      <c r="A19" s="2569" t="s">
        <v>960</v>
      </c>
      <c r="B19" s="2583">
        <f t="shared" si="33"/>
        <v>314.72141172386546</v>
      </c>
      <c r="C19" s="2583">
        <f t="shared" si="33"/>
        <v>263.03901319069001</v>
      </c>
      <c r="D19" s="2583">
        <f t="shared" si="28"/>
        <v>263.03901319069001</v>
      </c>
      <c r="E19" s="2583">
        <f t="shared" si="34"/>
        <v>433.65745506782821</v>
      </c>
      <c r="F19" s="2583">
        <f t="shared" si="34"/>
        <v>233.23005080045735</v>
      </c>
      <c r="G19" s="3622"/>
      <c r="H19" s="2589">
        <v>2</v>
      </c>
      <c r="I19" s="2589">
        <v>2.4</v>
      </c>
      <c r="J19" s="2589">
        <v>2.0299999999999998</v>
      </c>
      <c r="K19" s="2589">
        <v>2.59</v>
      </c>
      <c r="L19" s="2590">
        <v>1.52</v>
      </c>
      <c r="N19" s="2578">
        <f t="shared" si="30"/>
        <v>2.4E-2</v>
      </c>
      <c r="O19" s="2579">
        <f t="shared" si="26"/>
        <v>2.0299999999999999E-2</v>
      </c>
      <c r="P19" s="2579">
        <f t="shared" si="26"/>
        <v>2.5899999999999999E-2</v>
      </c>
      <c r="Q19" s="2579">
        <f t="shared" si="26"/>
        <v>1.52E-2</v>
      </c>
      <c r="R19" s="2580"/>
      <c r="S19" s="2578"/>
      <c r="T19" s="2579"/>
      <c r="U19" s="2579"/>
      <c r="V19" s="2579"/>
      <c r="X19" s="2668">
        <f>1+N19</f>
        <v>1.024</v>
      </c>
      <c r="Y19" s="2668">
        <f>1+O19</f>
        <v>1.0203</v>
      </c>
      <c r="Z19" s="2668">
        <f t="shared" si="35"/>
        <v>1.0203</v>
      </c>
      <c r="AA19" s="2668">
        <f>1+P19</f>
        <v>1.0259</v>
      </c>
      <c r="AB19" s="2668">
        <f>1+Q19</f>
        <v>1.0152000000000001</v>
      </c>
      <c r="AD19" s="2588">
        <f>ROUND(AVERAGE(I19:I$20)/100,4)</f>
        <v>2.69E-2</v>
      </c>
      <c r="AE19" s="2588">
        <f>ROUND(AVERAGE(J19:J$20)/100,4)</f>
        <v>2.1899999999999999E-2</v>
      </c>
      <c r="AF19" s="2588">
        <f t="shared" ref="AF19" si="36">AE19</f>
        <v>2.1899999999999999E-2</v>
      </c>
      <c r="AG19" s="2588">
        <f>ROUND(AVERAGE(K19:K$20)/100,4)</f>
        <v>2.9399999999999999E-2</v>
      </c>
      <c r="AH19" s="2588">
        <f>ROUND(AVERAGE(L19:L$20)/100,4)</f>
        <v>1.44E-2</v>
      </c>
    </row>
    <row r="20" spans="1:34" s="2605" customFormat="1" ht="13.5" thickBot="1">
      <c r="A20" s="2601" t="s">
        <v>959</v>
      </c>
      <c r="B20" s="2602">
        <f t="shared" si="33"/>
        <v>307.34512863658733</v>
      </c>
      <c r="C20" s="2602">
        <f t="shared" si="33"/>
        <v>257.80556031626975</v>
      </c>
      <c r="D20" s="2602">
        <f t="shared" si="28"/>
        <v>257.80556031626975</v>
      </c>
      <c r="E20" s="2602">
        <f t="shared" si="34"/>
        <v>422.70928459677179</v>
      </c>
      <c r="F20" s="2602">
        <f t="shared" si="34"/>
        <v>229.73803270336617</v>
      </c>
      <c r="G20" s="3623"/>
      <c r="H20" s="2603">
        <v>1</v>
      </c>
      <c r="I20" s="2603">
        <v>2.97</v>
      </c>
      <c r="J20" s="2603">
        <v>2.34</v>
      </c>
      <c r="K20" s="2603">
        <v>3.28</v>
      </c>
      <c r="L20" s="2604">
        <v>1.36</v>
      </c>
      <c r="N20" s="2606">
        <f t="shared" si="30"/>
        <v>2.9700000000000001E-2</v>
      </c>
      <c r="O20" s="2607">
        <f t="shared" si="26"/>
        <v>2.3399999999999997E-2</v>
      </c>
      <c r="P20" s="2607">
        <f t="shared" si="26"/>
        <v>3.2799999999999996E-2</v>
      </c>
      <c r="Q20" s="2607">
        <f t="shared" si="26"/>
        <v>1.3600000000000001E-2</v>
      </c>
      <c r="R20" s="2608"/>
      <c r="S20" s="2609">
        <f>B20/B21-1</f>
        <v>2.7910129219355539E-2</v>
      </c>
      <c r="T20" s="2610">
        <f>C20/C21-1</f>
        <v>2.3037937762975247E-2</v>
      </c>
      <c r="U20" s="2610">
        <f>E20/E21-1</f>
        <v>3.3519033243940788E-2</v>
      </c>
      <c r="V20" s="2610">
        <f>F20/F21-1</f>
        <v>1.2061818076502862E-2</v>
      </c>
      <c r="W20" s="2678" t="s">
        <v>2639</v>
      </c>
      <c r="X20" s="2680">
        <v>1</v>
      </c>
      <c r="Y20" s="2680">
        <v>1</v>
      </c>
      <c r="Z20" s="2680">
        <v>1</v>
      </c>
      <c r="AA20" s="2680">
        <v>1</v>
      </c>
      <c r="AB20" s="2680">
        <v>1</v>
      </c>
      <c r="AD20" s="2924">
        <f>I20/100</f>
        <v>2.9700000000000001E-2</v>
      </c>
      <c r="AE20" s="2924">
        <f>J20/100</f>
        <v>2.3399999999999997E-2</v>
      </c>
      <c r="AF20" s="2924">
        <f>AE20</f>
        <v>2.3399999999999997E-2</v>
      </c>
      <c r="AG20" s="2924">
        <f>K20/100</f>
        <v>3.2799999999999996E-2</v>
      </c>
      <c r="AH20" s="2924">
        <f>L20/100</f>
        <v>1.3600000000000001E-2</v>
      </c>
    </row>
    <row r="21" spans="1:34" ht="13.5" thickBot="1">
      <c r="A21" s="2569" t="s">
        <v>2581</v>
      </c>
      <c r="B21" s="2575">
        <v>299</v>
      </c>
      <c r="C21" s="2575">
        <v>252</v>
      </c>
      <c r="D21" s="2575">
        <f t="shared" si="28"/>
        <v>252</v>
      </c>
      <c r="E21" s="2575">
        <v>409</v>
      </c>
      <c r="F21" s="2576">
        <v>227</v>
      </c>
      <c r="G21" s="3624">
        <v>2013</v>
      </c>
      <c r="H21" s="2611">
        <v>4</v>
      </c>
      <c r="I21" s="2611">
        <v>1.83</v>
      </c>
      <c r="J21" s="2611">
        <v>1.68</v>
      </c>
      <c r="K21" s="2611">
        <v>1.97</v>
      </c>
      <c r="L21" s="2612">
        <v>0.87</v>
      </c>
      <c r="N21" s="2591">
        <f t="shared" si="30"/>
        <v>1.83E-2</v>
      </c>
      <c r="O21" s="2592">
        <f t="shared" si="26"/>
        <v>1.6799999999999999E-2</v>
      </c>
      <c r="P21" s="2592">
        <f t="shared" si="26"/>
        <v>1.9699999999999999E-2</v>
      </c>
      <c r="Q21" s="2592">
        <f t="shared" si="26"/>
        <v>8.6999999999999994E-3</v>
      </c>
      <c r="R21" s="2580"/>
      <c r="S21" s="2581"/>
      <c r="T21" s="2582"/>
      <c r="U21" s="2582"/>
      <c r="V21" s="2582"/>
      <c r="X21" s="2582"/>
      <c r="Y21" s="2582"/>
      <c r="Z21" s="2582"/>
    </row>
    <row r="22" spans="1:34">
      <c r="A22" s="2569" t="s">
        <v>2582</v>
      </c>
      <c r="B22" s="2583">
        <f t="shared" ref="B22:C24" si="37">B21/(1+N21)</f>
        <v>293.62663262299913</v>
      </c>
      <c r="C22" s="2583">
        <f t="shared" si="37"/>
        <v>247.83634933123525</v>
      </c>
      <c r="D22" s="2583">
        <f t="shared" si="28"/>
        <v>247.83634933123525</v>
      </c>
      <c r="E22" s="2583">
        <f t="shared" ref="E22:F24" si="38">E21/(1+P21)</f>
        <v>401.09836226341076</v>
      </c>
      <c r="F22" s="2583">
        <f t="shared" si="38"/>
        <v>225.04213343908003</v>
      </c>
      <c r="G22" s="3625"/>
      <c r="H22" s="2594">
        <v>3</v>
      </c>
      <c r="I22" s="2594">
        <v>1.86</v>
      </c>
      <c r="J22" s="2594">
        <v>1.72</v>
      </c>
      <c r="K22" s="2594">
        <v>1.98</v>
      </c>
      <c r="L22" s="2595">
        <v>0.88</v>
      </c>
      <c r="N22" s="2578">
        <f t="shared" si="30"/>
        <v>1.8600000000000002E-2</v>
      </c>
      <c r="O22" s="2596">
        <f t="shared" si="26"/>
        <v>1.72E-2</v>
      </c>
      <c r="P22" s="2596">
        <f t="shared" si="26"/>
        <v>1.9799999999999998E-2</v>
      </c>
      <c r="Q22" s="2596">
        <f t="shared" si="26"/>
        <v>8.8000000000000005E-3</v>
      </c>
      <c r="R22" s="2580"/>
      <c r="S22" s="2578"/>
      <c r="T22" s="2579"/>
      <c r="U22" s="2579"/>
      <c r="V22" s="2579"/>
    </row>
    <row r="23" spans="1:34">
      <c r="A23" s="2569" t="s">
        <v>2583</v>
      </c>
      <c r="B23" s="2583">
        <f t="shared" si="37"/>
        <v>288.2649053828776</v>
      </c>
      <c r="C23" s="2583">
        <f t="shared" si="37"/>
        <v>243.64564425013293</v>
      </c>
      <c r="D23" s="2583">
        <f t="shared" si="28"/>
        <v>243.64564425013293</v>
      </c>
      <c r="E23" s="2583">
        <f t="shared" si="38"/>
        <v>393.31080825986544</v>
      </c>
      <c r="F23" s="2583">
        <f t="shared" si="38"/>
        <v>223.07903790551154</v>
      </c>
      <c r="G23" s="3625"/>
      <c r="H23" s="2574">
        <v>2</v>
      </c>
      <c r="I23" s="2574">
        <v>2.04</v>
      </c>
      <c r="J23" s="2574">
        <v>2.33</v>
      </c>
      <c r="K23" s="2574">
        <v>2.0699999999999998</v>
      </c>
      <c r="L23" s="2585">
        <v>0.69</v>
      </c>
      <c r="N23" s="2578">
        <f t="shared" si="30"/>
        <v>2.0400000000000001E-2</v>
      </c>
      <c r="O23" s="2596">
        <f t="shared" si="26"/>
        <v>2.3300000000000001E-2</v>
      </c>
      <c r="P23" s="2596">
        <f t="shared" si="26"/>
        <v>2.07E-2</v>
      </c>
      <c r="Q23" s="2596">
        <f t="shared" si="26"/>
        <v>6.8999999999999999E-3</v>
      </c>
      <c r="R23" s="2580"/>
      <c r="S23" s="2578"/>
      <c r="T23" s="2579"/>
      <c r="U23" s="2579"/>
      <c r="V23" s="2579"/>
      <c r="X23" s="2681"/>
      <c r="Y23" s="2683"/>
    </row>
    <row r="24" spans="1:34">
      <c r="A24" s="2569" t="s">
        <v>2584</v>
      </c>
      <c r="B24" s="2583">
        <f t="shared" si="37"/>
        <v>282.50186729015837</v>
      </c>
      <c r="C24" s="2583">
        <f t="shared" si="37"/>
        <v>238.09796174155468</v>
      </c>
      <c r="D24" s="2583">
        <f t="shared" si="28"/>
        <v>238.09796174155468</v>
      </c>
      <c r="E24" s="2583">
        <f t="shared" si="38"/>
        <v>385.33438646014054</v>
      </c>
      <c r="F24" s="2583">
        <f t="shared" si="38"/>
        <v>221.55034055567739</v>
      </c>
      <c r="G24" s="3626"/>
      <c r="H24" s="2573">
        <v>1</v>
      </c>
      <c r="I24" s="2573">
        <v>1.67</v>
      </c>
      <c r="J24" s="2573">
        <v>1.31</v>
      </c>
      <c r="K24" s="2573">
        <v>1.85</v>
      </c>
      <c r="L24" s="2584">
        <v>0.96</v>
      </c>
      <c r="N24" s="2586">
        <f t="shared" si="30"/>
        <v>1.67E-2</v>
      </c>
      <c r="O24" s="2587">
        <f t="shared" si="26"/>
        <v>1.3100000000000001E-2</v>
      </c>
      <c r="P24" s="2587">
        <f t="shared" si="26"/>
        <v>1.8500000000000003E-2</v>
      </c>
      <c r="Q24" s="2587">
        <f t="shared" si="26"/>
        <v>9.5999999999999992E-3</v>
      </c>
      <c r="R24" s="2580"/>
      <c r="S24" s="2586">
        <f>B24/B25-1</f>
        <v>1.6193767230785472E-2</v>
      </c>
      <c r="T24" s="2587">
        <f>C24/C25-1</f>
        <v>1.7512657015190891E-2</v>
      </c>
      <c r="U24" s="2587">
        <f>E24/E25-1</f>
        <v>1.6713420739157048E-2</v>
      </c>
      <c r="V24" s="2587">
        <f>F24/F25-1</f>
        <v>7.0470025258062563E-3</v>
      </c>
      <c r="X24" s="2682"/>
      <c r="Y24" s="2588"/>
      <c r="Z24" s="2588"/>
    </row>
    <row r="25" spans="1:34" ht="13.5" thickBot="1">
      <c r="A25" s="2569" t="s">
        <v>2585</v>
      </c>
      <c r="B25" s="2613">
        <v>278</v>
      </c>
      <c r="C25" s="2613">
        <v>234</v>
      </c>
      <c r="D25" s="2613">
        <f t="shared" si="28"/>
        <v>234</v>
      </c>
      <c r="E25" s="2613">
        <v>379</v>
      </c>
      <c r="F25" s="2614">
        <v>220</v>
      </c>
      <c r="G25" s="3621">
        <v>2012</v>
      </c>
      <c r="H25" s="2589">
        <v>4</v>
      </c>
      <c r="I25" s="2589">
        <v>0.91</v>
      </c>
      <c r="J25" s="2589">
        <v>0.68</v>
      </c>
      <c r="K25" s="2589">
        <v>0.98</v>
      </c>
      <c r="L25" s="2590">
        <v>0.9</v>
      </c>
      <c r="N25" s="2578">
        <f t="shared" si="30"/>
        <v>9.1000000000000004E-3</v>
      </c>
      <c r="O25" s="2579">
        <f t="shared" si="30"/>
        <v>6.8000000000000005E-3</v>
      </c>
      <c r="P25" s="2579">
        <f t="shared" si="30"/>
        <v>9.7999999999999997E-3</v>
      </c>
      <c r="Q25" s="2579">
        <f t="shared" si="30"/>
        <v>9.0000000000000011E-3</v>
      </c>
      <c r="R25" s="2580"/>
      <c r="S25" s="2581"/>
      <c r="T25" s="2582"/>
      <c r="U25" s="2582"/>
      <c r="V25" s="2582"/>
      <c r="X25" s="2582"/>
      <c r="Y25" s="2582"/>
      <c r="Z25" s="2582"/>
    </row>
    <row r="26" spans="1:34">
      <c r="A26" s="2569" t="s">
        <v>2586</v>
      </c>
      <c r="B26" s="2583">
        <f>B25/(1+N25)</f>
        <v>275.49301357645425</v>
      </c>
      <c r="C26" s="2583">
        <f>C25/(1+O25)</f>
        <v>232.41954707985698</v>
      </c>
      <c r="D26" s="2583">
        <f t="shared" si="28"/>
        <v>232.41954707985698</v>
      </c>
      <c r="E26" s="2583">
        <f t="shared" ref="E26:F28" si="39">E25/(1+P25)</f>
        <v>375.32184591008121</v>
      </c>
      <c r="F26" s="2583">
        <f t="shared" si="39"/>
        <v>218.03766105054513</v>
      </c>
      <c r="G26" s="3622"/>
      <c r="H26" s="2594">
        <v>3</v>
      </c>
      <c r="I26" s="2594">
        <v>0.09</v>
      </c>
      <c r="J26" s="2594">
        <v>0.28999999999999998</v>
      </c>
      <c r="K26" s="2594">
        <v>-0.01</v>
      </c>
      <c r="L26" s="2595">
        <v>0.57999999999999996</v>
      </c>
      <c r="N26" s="2578">
        <f t="shared" si="30"/>
        <v>8.9999999999999998E-4</v>
      </c>
      <c r="O26" s="2579">
        <f t="shared" si="30"/>
        <v>2.8999999999999998E-3</v>
      </c>
      <c r="P26" s="2579">
        <f t="shared" si="30"/>
        <v>-1E-4</v>
      </c>
      <c r="Q26" s="2579">
        <f t="shared" si="30"/>
        <v>5.7999999999999996E-3</v>
      </c>
      <c r="R26" s="2580"/>
      <c r="S26" s="2578"/>
      <c r="T26" s="2579"/>
      <c r="U26" s="2579"/>
      <c r="V26" s="2579"/>
    </row>
    <row r="27" spans="1:34">
      <c r="A27" s="2569" t="s">
        <v>2587</v>
      </c>
      <c r="B27" s="2583">
        <f>B26/(1+N26)</f>
        <v>275.24529281292263</v>
      </c>
      <c r="C27" s="2583">
        <f>C26/(1+O26)</f>
        <v>231.74747938962707</v>
      </c>
      <c r="D27" s="2583">
        <f t="shared" si="28"/>
        <v>231.74747938962707</v>
      </c>
      <c r="E27" s="2583">
        <f t="shared" si="39"/>
        <v>375.35938184826603</v>
      </c>
      <c r="F27" s="2583">
        <f t="shared" si="39"/>
        <v>216.78033510692495</v>
      </c>
      <c r="G27" s="3622"/>
      <c r="H27" s="2574">
        <v>2</v>
      </c>
      <c r="I27" s="2574">
        <v>0.02</v>
      </c>
      <c r="J27" s="2574">
        <v>0.12</v>
      </c>
      <c r="K27" s="2574">
        <v>-0.08</v>
      </c>
      <c r="L27" s="2585">
        <v>1.24</v>
      </c>
      <c r="N27" s="2578">
        <f t="shared" si="30"/>
        <v>2.0000000000000001E-4</v>
      </c>
      <c r="O27" s="2579">
        <f t="shared" si="30"/>
        <v>1.1999999999999999E-3</v>
      </c>
      <c r="P27" s="2579">
        <f t="shared" si="30"/>
        <v>-8.0000000000000004E-4</v>
      </c>
      <c r="Q27" s="2579">
        <f t="shared" si="30"/>
        <v>1.24E-2</v>
      </c>
      <c r="R27" s="2580"/>
      <c r="S27" s="2578"/>
      <c r="T27" s="2579"/>
      <c r="U27" s="2579"/>
      <c r="V27" s="2579"/>
    </row>
    <row r="28" spans="1:34" ht="13.5" thickBot="1">
      <c r="A28" s="2569" t="s">
        <v>2588</v>
      </c>
      <c r="B28" s="2583">
        <f>B27/(1+N27)</f>
        <v>275.19025476197027</v>
      </c>
      <c r="C28" s="2615">
        <v>232</v>
      </c>
      <c r="D28" s="2615">
        <f t="shared" si="28"/>
        <v>232</v>
      </c>
      <c r="E28" s="2583">
        <f t="shared" si="39"/>
        <v>375.65990977608692</v>
      </c>
      <c r="F28" s="2583">
        <f t="shared" si="39"/>
        <v>214.12518283971252</v>
      </c>
      <c r="G28" s="3623"/>
      <c r="H28" s="2573">
        <v>1</v>
      </c>
      <c r="I28" s="2573">
        <v>0.02</v>
      </c>
      <c r="J28" s="2573">
        <v>0.13</v>
      </c>
      <c r="K28" s="2573">
        <v>-0.04</v>
      </c>
      <c r="L28" s="2584">
        <v>0.46</v>
      </c>
      <c r="N28" s="2578">
        <f t="shared" si="30"/>
        <v>2.0000000000000001E-4</v>
      </c>
      <c r="O28" s="2579">
        <f t="shared" si="30"/>
        <v>1.2999999999999999E-3</v>
      </c>
      <c r="P28" s="2579">
        <f t="shared" si="30"/>
        <v>-4.0000000000000002E-4</v>
      </c>
      <c r="Q28" s="2579">
        <f t="shared" si="30"/>
        <v>4.5999999999999999E-3</v>
      </c>
      <c r="R28" s="2580"/>
      <c r="S28" s="2586">
        <f>B28/B29-1</f>
        <v>6.9183549807361189E-4</v>
      </c>
      <c r="T28" s="2587">
        <f>C28/C29-1</f>
        <v>0</v>
      </c>
      <c r="U28" s="2587">
        <f>E28/E29-1</f>
        <v>-9.0449527636460303E-4</v>
      </c>
      <c r="V28" s="2587">
        <f>F28/F29-1</f>
        <v>5.2825485432512753E-3</v>
      </c>
      <c r="X28" s="2588"/>
      <c r="Y28" s="2588"/>
      <c r="Z28" s="2588"/>
    </row>
    <row r="29" spans="1:34" ht="13.5" thickBot="1">
      <c r="A29" s="2569" t="s">
        <v>2589</v>
      </c>
      <c r="B29" s="2575">
        <v>275</v>
      </c>
      <c r="C29" s="2575">
        <v>232</v>
      </c>
      <c r="D29" s="2575">
        <f t="shared" si="28"/>
        <v>232</v>
      </c>
      <c r="E29" s="2575">
        <v>376</v>
      </c>
      <c r="F29" s="2576">
        <v>213</v>
      </c>
      <c r="G29" s="3621">
        <v>2011</v>
      </c>
      <c r="H29" s="2589">
        <v>4</v>
      </c>
      <c r="I29" s="2589">
        <v>-0.2</v>
      </c>
      <c r="J29" s="2589">
        <v>0.04</v>
      </c>
      <c r="K29" s="2589">
        <v>-0.34</v>
      </c>
      <c r="L29" s="2590">
        <v>0.46</v>
      </c>
      <c r="N29" s="2591">
        <f t="shared" si="30"/>
        <v>-2E-3</v>
      </c>
      <c r="O29" s="2592">
        <f t="shared" si="30"/>
        <v>4.0000000000000002E-4</v>
      </c>
      <c r="P29" s="2592">
        <f t="shared" si="30"/>
        <v>-3.4000000000000002E-3</v>
      </c>
      <c r="Q29" s="2592">
        <f t="shared" si="30"/>
        <v>4.5999999999999999E-3</v>
      </c>
      <c r="R29" s="2580"/>
      <c r="S29" s="2581"/>
      <c r="T29" s="2582"/>
      <c r="U29" s="2582"/>
      <c r="V29" s="2582"/>
      <c r="X29" s="2582"/>
      <c r="Y29" s="2582"/>
      <c r="Z29" s="2582"/>
    </row>
    <row r="30" spans="1:34">
      <c r="A30" s="2569" t="s">
        <v>2590</v>
      </c>
      <c r="B30" s="2583">
        <f t="shared" ref="B30:C32" si="40">B29/(1+N29)</f>
        <v>275.55110220440883</v>
      </c>
      <c r="C30" s="2583">
        <f t="shared" si="40"/>
        <v>231.90723710515795</v>
      </c>
      <c r="D30" s="2583">
        <f t="shared" si="28"/>
        <v>231.90723710515795</v>
      </c>
      <c r="E30" s="2583">
        <f t="shared" ref="E30:F32" si="41">E29/(1+P29)</f>
        <v>377.28276138872161</v>
      </c>
      <c r="F30" s="2583">
        <f t="shared" si="41"/>
        <v>212.02468644236512</v>
      </c>
      <c r="G30" s="3622">
        <v>2011</v>
      </c>
      <c r="H30" s="2594">
        <v>3</v>
      </c>
      <c r="I30" s="2594">
        <v>0.13</v>
      </c>
      <c r="J30" s="2594">
        <v>0.75</v>
      </c>
      <c r="K30" s="2594">
        <v>-0.08</v>
      </c>
      <c r="L30" s="2595">
        <v>0.53</v>
      </c>
      <c r="N30" s="2578">
        <f t="shared" si="30"/>
        <v>1.2999999999999999E-3</v>
      </c>
      <c r="O30" s="2596">
        <f t="shared" si="30"/>
        <v>7.4999999999999997E-3</v>
      </c>
      <c r="P30" s="2596">
        <f t="shared" si="30"/>
        <v>-8.0000000000000004E-4</v>
      </c>
      <c r="Q30" s="2596">
        <f t="shared" si="30"/>
        <v>5.3E-3</v>
      </c>
      <c r="R30" s="2580"/>
      <c r="S30" s="2578"/>
      <c r="T30" s="2579"/>
      <c r="U30" s="2579"/>
      <c r="V30" s="2579"/>
    </row>
    <row r="31" spans="1:34">
      <c r="A31" s="2569" t="s">
        <v>2591</v>
      </c>
      <c r="B31" s="2583">
        <f t="shared" si="40"/>
        <v>275.19335084830601</v>
      </c>
      <c r="C31" s="2583">
        <f t="shared" si="40"/>
        <v>230.18088050139744</v>
      </c>
      <c r="D31" s="2583">
        <f t="shared" si="28"/>
        <v>230.18088050139744</v>
      </c>
      <c r="E31" s="2583">
        <f t="shared" si="41"/>
        <v>377.58482925212331</v>
      </c>
      <c r="F31" s="2583">
        <f t="shared" si="41"/>
        <v>210.90687997847917</v>
      </c>
      <c r="G31" s="3622">
        <v>2011</v>
      </c>
      <c r="H31" s="2574">
        <v>2</v>
      </c>
      <c r="I31" s="2574">
        <v>-0.4</v>
      </c>
      <c r="J31" s="2574">
        <v>0.17</v>
      </c>
      <c r="K31" s="2574">
        <v>-0.57999999999999996</v>
      </c>
      <c r="L31" s="2585">
        <v>-0.2</v>
      </c>
      <c r="N31" s="2578">
        <f t="shared" si="30"/>
        <v>-4.0000000000000001E-3</v>
      </c>
      <c r="O31" s="2596">
        <f t="shared" si="30"/>
        <v>1.7000000000000001E-3</v>
      </c>
      <c r="P31" s="2596">
        <f t="shared" si="30"/>
        <v>-5.7999999999999996E-3</v>
      </c>
      <c r="Q31" s="2596">
        <f t="shared" si="30"/>
        <v>-2E-3</v>
      </c>
      <c r="R31" s="2580"/>
      <c r="S31" s="2578"/>
      <c r="T31" s="2579"/>
      <c r="U31" s="2579"/>
      <c r="V31" s="2579"/>
    </row>
    <row r="32" spans="1:34" ht="13.5" thickBot="1">
      <c r="A32" s="2569" t="s">
        <v>2592</v>
      </c>
      <c r="B32" s="2583">
        <f t="shared" si="40"/>
        <v>276.29854502841971</v>
      </c>
      <c r="C32" s="2583">
        <f t="shared" si="40"/>
        <v>229.79023709833027</v>
      </c>
      <c r="D32" s="2583">
        <f t="shared" si="28"/>
        <v>229.79023709833027</v>
      </c>
      <c r="E32" s="2583">
        <f t="shared" si="41"/>
        <v>379.78759731655936</v>
      </c>
      <c r="F32" s="2583">
        <f t="shared" si="41"/>
        <v>211.32953905659235</v>
      </c>
      <c r="G32" s="3623">
        <v>2011</v>
      </c>
      <c r="H32" s="2573">
        <v>1</v>
      </c>
      <c r="I32" s="2573">
        <v>2.65</v>
      </c>
      <c r="J32" s="2573">
        <v>3.76</v>
      </c>
      <c r="K32" s="2573">
        <v>1.89</v>
      </c>
      <c r="L32" s="2584">
        <v>7.95</v>
      </c>
      <c r="N32" s="2586">
        <f t="shared" si="30"/>
        <v>2.6499999999999999E-2</v>
      </c>
      <c r="O32" s="2587">
        <f t="shared" si="30"/>
        <v>3.7599999999999995E-2</v>
      </c>
      <c r="P32" s="2587">
        <f t="shared" si="30"/>
        <v>1.89E-2</v>
      </c>
      <c r="Q32" s="2587">
        <f t="shared" si="30"/>
        <v>7.9500000000000001E-2</v>
      </c>
      <c r="R32" s="2580"/>
      <c r="S32" s="2586">
        <f>B32/B33-1</f>
        <v>2.713213765211786E-2</v>
      </c>
      <c r="T32" s="2587">
        <f>C32/C33-1</f>
        <v>3.9774828499231862E-2</v>
      </c>
      <c r="U32" s="2587">
        <f>E32/E33-1</f>
        <v>1.8197311840641772E-2</v>
      </c>
      <c r="V32" s="2587">
        <f>F32/F33-1</f>
        <v>7.8211933962205826E-2</v>
      </c>
      <c r="X32" s="2588"/>
      <c r="Y32" s="2588"/>
      <c r="Z32" s="2588"/>
    </row>
    <row r="33" spans="1:26" ht="13.5" thickBot="1">
      <c r="A33" s="2569" t="s">
        <v>2593</v>
      </c>
      <c r="B33" s="2575">
        <v>269</v>
      </c>
      <c r="C33" s="2575">
        <v>221</v>
      </c>
      <c r="D33" s="2575">
        <f t="shared" si="28"/>
        <v>221</v>
      </c>
      <c r="E33" s="2575">
        <v>373</v>
      </c>
      <c r="F33" s="2576">
        <v>196</v>
      </c>
      <c r="G33" s="3621">
        <v>2010</v>
      </c>
      <c r="H33" s="2589">
        <v>4</v>
      </c>
      <c r="I33" s="2589">
        <v>5.72</v>
      </c>
      <c r="J33" s="2589">
        <v>6.57</v>
      </c>
      <c r="K33" s="2589">
        <v>5.72</v>
      </c>
      <c r="L33" s="2590">
        <v>2.72</v>
      </c>
      <c r="N33" s="2578">
        <f t="shared" si="30"/>
        <v>5.7200000000000001E-2</v>
      </c>
      <c r="O33" s="2579">
        <f t="shared" si="30"/>
        <v>6.5700000000000008E-2</v>
      </c>
      <c r="P33" s="2579">
        <f t="shared" si="30"/>
        <v>5.7200000000000001E-2</v>
      </c>
      <c r="Q33" s="2579">
        <f t="shared" si="30"/>
        <v>2.7200000000000002E-2</v>
      </c>
      <c r="R33" s="2580"/>
      <c r="S33" s="2581"/>
      <c r="T33" s="2582"/>
      <c r="U33" s="2582"/>
      <c r="V33" s="2582"/>
      <c r="X33" s="2582"/>
      <c r="Y33" s="2582"/>
      <c r="Z33" s="2582"/>
    </row>
    <row r="34" spans="1:26">
      <c r="A34" s="2569" t="s">
        <v>2594</v>
      </c>
      <c r="B34" s="2583">
        <f t="shared" ref="B34:C36" si="42">B33/(1+N33)</f>
        <v>254.44570563753314</v>
      </c>
      <c r="C34" s="2583">
        <f t="shared" si="42"/>
        <v>207.37543398705074</v>
      </c>
      <c r="D34" s="2583">
        <f t="shared" si="28"/>
        <v>207.37543398705074</v>
      </c>
      <c r="E34" s="2583">
        <f t="shared" ref="E34:F36" si="43">E33/(1+P33)</f>
        <v>352.81876655315932</v>
      </c>
      <c r="F34" s="2583">
        <f t="shared" si="43"/>
        <v>190.809968847352</v>
      </c>
      <c r="G34" s="3622">
        <v>2010</v>
      </c>
      <c r="H34" s="2594">
        <v>3</v>
      </c>
      <c r="I34" s="2594">
        <v>4.7300000000000004</v>
      </c>
      <c r="J34" s="2594">
        <v>3.9</v>
      </c>
      <c r="K34" s="2594">
        <v>5.03</v>
      </c>
      <c r="L34" s="2595">
        <v>4.21</v>
      </c>
      <c r="N34" s="2578">
        <f t="shared" si="30"/>
        <v>4.7300000000000002E-2</v>
      </c>
      <c r="O34" s="2579">
        <f t="shared" si="30"/>
        <v>3.9E-2</v>
      </c>
      <c r="P34" s="2579">
        <f t="shared" si="30"/>
        <v>5.0300000000000004E-2</v>
      </c>
      <c r="Q34" s="2579">
        <f t="shared" si="30"/>
        <v>4.2099999999999999E-2</v>
      </c>
      <c r="R34" s="2580"/>
      <c r="S34" s="2578"/>
      <c r="T34" s="2579"/>
      <c r="U34" s="2579"/>
      <c r="V34" s="2579"/>
    </row>
    <row r="35" spans="1:26">
      <c r="A35" s="2569" t="s">
        <v>2595</v>
      </c>
      <c r="B35" s="2583">
        <f t="shared" si="42"/>
        <v>242.95398227588385</v>
      </c>
      <c r="C35" s="2583">
        <f t="shared" si="42"/>
        <v>199.59137053614126</v>
      </c>
      <c r="D35" s="2583">
        <f t="shared" si="28"/>
        <v>199.59137053614126</v>
      </c>
      <c r="E35" s="2583">
        <f t="shared" si="43"/>
        <v>335.92189522342125</v>
      </c>
      <c r="F35" s="2583">
        <f t="shared" si="43"/>
        <v>183.10139991109489</v>
      </c>
      <c r="G35" s="3622">
        <v>2010</v>
      </c>
      <c r="H35" s="2574">
        <v>2</v>
      </c>
      <c r="I35" s="2574">
        <v>4.6900000000000004</v>
      </c>
      <c r="J35" s="2574">
        <v>3.55</v>
      </c>
      <c r="K35" s="2574">
        <v>5.07</v>
      </c>
      <c r="L35" s="2585">
        <v>4.2300000000000004</v>
      </c>
      <c r="N35" s="2578">
        <f t="shared" si="30"/>
        <v>4.6900000000000004E-2</v>
      </c>
      <c r="O35" s="2579">
        <f t="shared" si="30"/>
        <v>3.5499999999999997E-2</v>
      </c>
      <c r="P35" s="2579">
        <f t="shared" si="30"/>
        <v>5.0700000000000002E-2</v>
      </c>
      <c r="Q35" s="2579">
        <f t="shared" si="30"/>
        <v>4.2300000000000004E-2</v>
      </c>
      <c r="R35" s="2580"/>
      <c r="S35" s="2578"/>
      <c r="T35" s="2579"/>
      <c r="U35" s="2579"/>
      <c r="V35" s="2579"/>
    </row>
    <row r="36" spans="1:26" ht="13.5" thickBot="1">
      <c r="A36" s="2569" t="s">
        <v>2596</v>
      </c>
      <c r="B36" s="2583">
        <f t="shared" si="42"/>
        <v>232.06990378821649</v>
      </c>
      <c r="C36" s="2583">
        <f t="shared" si="42"/>
        <v>192.74878854286936</v>
      </c>
      <c r="D36" s="2583">
        <f t="shared" si="28"/>
        <v>192.74878854286936</v>
      </c>
      <c r="E36" s="2583">
        <f t="shared" si="43"/>
        <v>319.71247284992984</v>
      </c>
      <c r="F36" s="2583">
        <f t="shared" si="43"/>
        <v>175.67053622862409</v>
      </c>
      <c r="G36" s="3623">
        <v>2010</v>
      </c>
      <c r="H36" s="2573">
        <v>1</v>
      </c>
      <c r="I36" s="2573">
        <v>5.4</v>
      </c>
      <c r="J36" s="2573">
        <v>3.2</v>
      </c>
      <c r="K36" s="2573">
        <v>6.16</v>
      </c>
      <c r="L36" s="2584">
        <v>4.51</v>
      </c>
      <c r="N36" s="2578">
        <f t="shared" si="30"/>
        <v>5.4000000000000006E-2</v>
      </c>
      <c r="O36" s="2579">
        <f t="shared" si="30"/>
        <v>3.2000000000000001E-2</v>
      </c>
      <c r="P36" s="2579">
        <f t="shared" si="30"/>
        <v>6.1600000000000002E-2</v>
      </c>
      <c r="Q36" s="2579">
        <f t="shared" si="30"/>
        <v>4.5100000000000001E-2</v>
      </c>
      <c r="R36" s="2580"/>
      <c r="S36" s="2586">
        <f>B36/B37-1</f>
        <v>5.4863199037347599E-2</v>
      </c>
      <c r="T36" s="2587">
        <f>C36/C37-1</f>
        <v>3.0742184721226584E-2</v>
      </c>
      <c r="U36" s="2587">
        <f>E36/E37-1</f>
        <v>6.2167683886810154E-2</v>
      </c>
      <c r="V36" s="2587">
        <f>F36/F37-1</f>
        <v>4.5657953741810031E-2</v>
      </c>
      <c r="X36" s="2588"/>
      <c r="Y36" s="2588"/>
      <c r="Z36" s="2588"/>
    </row>
    <row r="37" spans="1:26" ht="13.5" thickBot="1">
      <c r="A37" s="2569" t="s">
        <v>2597</v>
      </c>
      <c r="B37" s="2575">
        <v>220</v>
      </c>
      <c r="C37" s="2575">
        <v>187</v>
      </c>
      <c r="D37" s="2575">
        <f t="shared" si="28"/>
        <v>187</v>
      </c>
      <c r="E37" s="2575">
        <v>301</v>
      </c>
      <c r="F37" s="2576">
        <v>168</v>
      </c>
      <c r="G37" s="3621">
        <v>2009</v>
      </c>
      <c r="H37" s="2589">
        <v>4</v>
      </c>
      <c r="I37" s="2589">
        <v>2.2999999999999998</v>
      </c>
      <c r="J37" s="2589">
        <v>1.04</v>
      </c>
      <c r="K37" s="2589">
        <v>2.84</v>
      </c>
      <c r="L37" s="2590">
        <v>0.67</v>
      </c>
      <c r="N37" s="2591">
        <f t="shared" si="30"/>
        <v>2.3E-2</v>
      </c>
      <c r="O37" s="2592">
        <f t="shared" si="30"/>
        <v>1.04E-2</v>
      </c>
      <c r="P37" s="2592">
        <f t="shared" si="30"/>
        <v>2.8399999999999998E-2</v>
      </c>
      <c r="Q37" s="2592">
        <f t="shared" si="30"/>
        <v>6.7000000000000002E-3</v>
      </c>
      <c r="R37" s="2580"/>
      <c r="S37" s="2581"/>
      <c r="T37" s="2582"/>
      <c r="U37" s="2582"/>
      <c r="V37" s="2582"/>
      <c r="X37" s="2582"/>
      <c r="Y37" s="2582"/>
      <c r="Z37" s="2582"/>
    </row>
    <row r="38" spans="1:26">
      <c r="A38" s="2569" t="s">
        <v>2598</v>
      </c>
      <c r="B38" s="2583">
        <f t="shared" ref="B38:C40" si="44">B37/(1+N37)</f>
        <v>215.05376344086022</v>
      </c>
      <c r="C38" s="2583">
        <f t="shared" si="44"/>
        <v>185.0752177355503</v>
      </c>
      <c r="D38" s="2583">
        <f t="shared" si="28"/>
        <v>185.0752177355503</v>
      </c>
      <c r="E38" s="2583">
        <f t="shared" ref="E38:F40" si="45">E37/(1+P37)</f>
        <v>292.68767016725008</v>
      </c>
      <c r="F38" s="2583">
        <f t="shared" si="45"/>
        <v>166.88189132810174</v>
      </c>
      <c r="G38" s="3622">
        <v>2009</v>
      </c>
      <c r="H38" s="2594">
        <v>3</v>
      </c>
      <c r="I38" s="2594">
        <v>2.1</v>
      </c>
      <c r="J38" s="2594">
        <v>1.86</v>
      </c>
      <c r="K38" s="2594">
        <v>2.29</v>
      </c>
      <c r="L38" s="2595">
        <v>0.85</v>
      </c>
      <c r="N38" s="2578">
        <f t="shared" si="30"/>
        <v>2.1000000000000001E-2</v>
      </c>
      <c r="O38" s="2596">
        <f t="shared" si="30"/>
        <v>1.8600000000000002E-2</v>
      </c>
      <c r="P38" s="2596">
        <f t="shared" si="30"/>
        <v>2.29E-2</v>
      </c>
      <c r="Q38" s="2596">
        <f t="shared" si="30"/>
        <v>8.5000000000000006E-3</v>
      </c>
      <c r="R38" s="2580"/>
      <c r="S38" s="2578"/>
      <c r="T38" s="2579"/>
      <c r="U38" s="2579"/>
      <c r="V38" s="2579"/>
    </row>
    <row r="39" spans="1:26">
      <c r="A39" s="2569" t="s">
        <v>2599</v>
      </c>
      <c r="B39" s="2583">
        <f t="shared" si="44"/>
        <v>210.630522469011</v>
      </c>
      <c r="C39" s="2583">
        <f t="shared" si="44"/>
        <v>181.69567812247232</v>
      </c>
      <c r="D39" s="2583">
        <f t="shared" si="28"/>
        <v>181.69567812247232</v>
      </c>
      <c r="E39" s="2583">
        <f t="shared" si="45"/>
        <v>286.13517466736738</v>
      </c>
      <c r="F39" s="2583">
        <f t="shared" si="45"/>
        <v>165.47535084591149</v>
      </c>
      <c r="G39" s="3622">
        <v>2009</v>
      </c>
      <c r="H39" s="2574">
        <v>2</v>
      </c>
      <c r="I39" s="2574">
        <v>0.86</v>
      </c>
      <c r="J39" s="2574">
        <v>-1.1299999999999999</v>
      </c>
      <c r="K39" s="2574">
        <v>1.79</v>
      </c>
      <c r="L39" s="2585">
        <v>-2.0699999999999998</v>
      </c>
      <c r="N39" s="2578">
        <f t="shared" si="30"/>
        <v>8.6E-3</v>
      </c>
      <c r="O39" s="2596">
        <f t="shared" si="30"/>
        <v>-1.1299999999999999E-2</v>
      </c>
      <c r="P39" s="2596">
        <f t="shared" si="30"/>
        <v>1.7899999999999999E-2</v>
      </c>
      <c r="Q39" s="2596">
        <f t="shared" si="30"/>
        <v>-2.07E-2</v>
      </c>
      <c r="R39" s="2580"/>
      <c r="S39" s="2578"/>
      <c r="T39" s="2579"/>
      <c r="U39" s="2579"/>
      <c r="V39" s="2579"/>
    </row>
    <row r="40" spans="1:26">
      <c r="A40" s="2569" t="s">
        <v>2600</v>
      </c>
      <c r="B40" s="2583">
        <f t="shared" si="44"/>
        <v>208.83454537875372</v>
      </c>
      <c r="C40" s="2583">
        <f t="shared" si="44"/>
        <v>183.77230517090351</v>
      </c>
      <c r="D40" s="2583">
        <f t="shared" si="28"/>
        <v>183.77230517090351</v>
      </c>
      <c r="E40" s="2583">
        <f t="shared" si="45"/>
        <v>281.10342338870947</v>
      </c>
      <c r="F40" s="2583">
        <f t="shared" si="45"/>
        <v>168.97309388942256</v>
      </c>
      <c r="G40" s="3623">
        <v>2009</v>
      </c>
      <c r="H40" s="2573">
        <v>1</v>
      </c>
      <c r="I40" s="2573">
        <v>-2.64</v>
      </c>
      <c r="J40" s="2573">
        <v>-2.5299999999999998</v>
      </c>
      <c r="K40" s="2573">
        <v>-3.02</v>
      </c>
      <c r="L40" s="2584">
        <v>1.52</v>
      </c>
      <c r="N40" s="2586">
        <f t="shared" si="30"/>
        <v>-2.64E-2</v>
      </c>
      <c r="O40" s="2587">
        <f t="shared" si="30"/>
        <v>-2.53E-2</v>
      </c>
      <c r="P40" s="2587">
        <f t="shared" si="30"/>
        <v>-3.0200000000000001E-2</v>
      </c>
      <c r="Q40" s="2587">
        <f t="shared" si="30"/>
        <v>1.52E-2</v>
      </c>
      <c r="R40" s="2580"/>
      <c r="S40" s="2586">
        <f>B40/B41-1</f>
        <v>-2.4137638417038754E-2</v>
      </c>
      <c r="T40" s="2587">
        <f>C40/C41-1</f>
        <v>-2.248773845264096E-2</v>
      </c>
      <c r="U40" s="2587">
        <f>E40/E41-1</f>
        <v>-2.7323794502735366E-2</v>
      </c>
      <c r="V40" s="2587">
        <f>F40/F41-1</f>
        <v>1.7910204153148035E-2</v>
      </c>
      <c r="X40" s="2588"/>
      <c r="Y40" s="2588"/>
      <c r="Z40" s="2588"/>
    </row>
    <row r="41" spans="1:26" ht="13.5" thickBot="1">
      <c r="A41" s="2569" t="s">
        <v>2601</v>
      </c>
      <c r="B41" s="2613">
        <v>214</v>
      </c>
      <c r="C41" s="2613">
        <v>188</v>
      </c>
      <c r="D41" s="2613">
        <f t="shared" si="28"/>
        <v>188</v>
      </c>
      <c r="E41" s="2613">
        <v>289</v>
      </c>
      <c r="F41" s="2614">
        <v>166</v>
      </c>
      <c r="G41" s="3621">
        <v>2008</v>
      </c>
      <c r="H41" s="2589">
        <v>4</v>
      </c>
      <c r="I41" s="2589">
        <v>1.73</v>
      </c>
      <c r="J41" s="2589">
        <v>0.03</v>
      </c>
      <c r="K41" s="2589">
        <v>2.59</v>
      </c>
      <c r="L41" s="2590">
        <v>-1.66</v>
      </c>
      <c r="N41" s="2578">
        <f t="shared" si="30"/>
        <v>1.7299999999999999E-2</v>
      </c>
      <c r="O41" s="2579">
        <f t="shared" si="30"/>
        <v>2.9999999999999997E-4</v>
      </c>
      <c r="P41" s="2579">
        <f t="shared" si="30"/>
        <v>2.5899999999999999E-2</v>
      </c>
      <c r="Q41" s="2579">
        <f t="shared" si="30"/>
        <v>-1.66E-2</v>
      </c>
      <c r="R41" s="2580"/>
      <c r="S41" s="2581"/>
      <c r="T41" s="2582"/>
      <c r="U41" s="2582"/>
      <c r="V41" s="2582"/>
      <c r="X41" s="2582"/>
      <c r="Y41" s="2582"/>
      <c r="Z41" s="2582"/>
    </row>
    <row r="42" spans="1:26">
      <c r="A42" s="2569" t="s">
        <v>2602</v>
      </c>
      <c r="B42" s="2583">
        <f t="shared" ref="B42:C44" si="46">B41/(1+N41)</f>
        <v>210.36075887152265</v>
      </c>
      <c r="C42" s="2583">
        <f t="shared" si="46"/>
        <v>187.94361691492554</v>
      </c>
      <c r="D42" s="2583">
        <f t="shared" si="28"/>
        <v>187.94361691492554</v>
      </c>
      <c r="E42" s="2583">
        <f t="shared" ref="E42:F44" si="47">E41/(1+P41)</f>
        <v>281.70386977288234</v>
      </c>
      <c r="F42" s="2583">
        <f t="shared" si="47"/>
        <v>168.80211511083994</v>
      </c>
      <c r="G42" s="3622">
        <v>2008</v>
      </c>
      <c r="H42" s="2594">
        <v>3</v>
      </c>
      <c r="I42" s="2594">
        <v>1.96</v>
      </c>
      <c r="J42" s="2594">
        <v>2.36</v>
      </c>
      <c r="K42" s="2594">
        <v>1.82</v>
      </c>
      <c r="L42" s="2595">
        <v>2.2200000000000002</v>
      </c>
      <c r="N42" s="2578">
        <f t="shared" si="30"/>
        <v>1.9599999999999999E-2</v>
      </c>
      <c r="O42" s="2579">
        <f t="shared" si="30"/>
        <v>2.3599999999999999E-2</v>
      </c>
      <c r="P42" s="2579">
        <f t="shared" si="30"/>
        <v>1.8200000000000001E-2</v>
      </c>
      <c r="Q42" s="2579">
        <f t="shared" si="30"/>
        <v>2.2200000000000001E-2</v>
      </c>
      <c r="R42" s="2580"/>
      <c r="S42" s="2578"/>
      <c r="T42" s="2579"/>
      <c r="U42" s="2579"/>
      <c r="V42" s="2579"/>
    </row>
    <row r="43" spans="1:26">
      <c r="A43" s="2569" t="s">
        <v>2603</v>
      </c>
      <c r="B43" s="2583">
        <f t="shared" si="46"/>
        <v>206.31694671589116</v>
      </c>
      <c r="C43" s="2583">
        <f t="shared" si="46"/>
        <v>183.61041121036101</v>
      </c>
      <c r="D43" s="2583">
        <f t="shared" si="28"/>
        <v>183.61041121036101</v>
      </c>
      <c r="E43" s="2583">
        <f t="shared" si="47"/>
        <v>276.66850301795557</v>
      </c>
      <c r="F43" s="2583">
        <f t="shared" si="47"/>
        <v>165.1360938278614</v>
      </c>
      <c r="G43" s="3622">
        <v>2008</v>
      </c>
      <c r="H43" s="2574">
        <v>2</v>
      </c>
      <c r="I43" s="2574">
        <v>4.93</v>
      </c>
      <c r="J43" s="2574">
        <v>7.38</v>
      </c>
      <c r="K43" s="2574">
        <v>3.98</v>
      </c>
      <c r="L43" s="2585">
        <v>6.86</v>
      </c>
      <c r="N43" s="2578">
        <f t="shared" si="30"/>
        <v>4.9299999999999997E-2</v>
      </c>
      <c r="O43" s="2579">
        <f t="shared" si="30"/>
        <v>7.3800000000000004E-2</v>
      </c>
      <c r="P43" s="2579">
        <f t="shared" si="30"/>
        <v>3.9800000000000002E-2</v>
      </c>
      <c r="Q43" s="2579">
        <f t="shared" si="30"/>
        <v>6.8600000000000008E-2</v>
      </c>
      <c r="R43" s="2580"/>
      <c r="S43" s="2578"/>
      <c r="T43" s="2579"/>
      <c r="U43" s="2579"/>
      <c r="V43" s="2579"/>
    </row>
    <row r="44" spans="1:26" s="2619" customFormat="1" ht="13.5" thickBot="1">
      <c r="A44" s="2569" t="s">
        <v>2604</v>
      </c>
      <c r="B44" s="2616">
        <f t="shared" si="46"/>
        <v>196.62341248059772</v>
      </c>
      <c r="C44" s="2616">
        <f t="shared" si="46"/>
        <v>170.99125648199012</v>
      </c>
      <c r="D44" s="2616">
        <f t="shared" si="28"/>
        <v>170.99125648199012</v>
      </c>
      <c r="E44" s="2616">
        <f t="shared" si="47"/>
        <v>266.07857570490052</v>
      </c>
      <c r="F44" s="2616">
        <f t="shared" si="47"/>
        <v>154.53499328828505</v>
      </c>
      <c r="G44" s="3623">
        <v>2008</v>
      </c>
      <c r="H44" s="2617">
        <v>1</v>
      </c>
      <c r="I44" s="2617">
        <v>4.1399999999999997</v>
      </c>
      <c r="J44" s="2617">
        <v>3.45</v>
      </c>
      <c r="K44" s="2617">
        <v>4.95</v>
      </c>
      <c r="L44" s="2618">
        <v>4.82</v>
      </c>
      <c r="N44" s="2620">
        <f t="shared" si="30"/>
        <v>4.1399999999999999E-2</v>
      </c>
      <c r="O44" s="2621">
        <f t="shared" si="30"/>
        <v>3.4500000000000003E-2</v>
      </c>
      <c r="P44" s="2621">
        <f t="shared" si="30"/>
        <v>4.9500000000000002E-2</v>
      </c>
      <c r="Q44" s="2621">
        <f t="shared" si="30"/>
        <v>4.82E-2</v>
      </c>
      <c r="R44" s="2622"/>
      <c r="S44" s="2620">
        <f>B44/B45-1</f>
        <v>4.5869215322328349E-2</v>
      </c>
      <c r="T44" s="2621">
        <f>C44/C45-1</f>
        <v>3.6310645345394743E-2</v>
      </c>
      <c r="U44" s="2621">
        <f>E44/E45-1</f>
        <v>4.7553447657088688E-2</v>
      </c>
      <c r="V44" s="2621">
        <f>F44/F45-1</f>
        <v>4.4155360055980086E-2</v>
      </c>
      <c r="X44" s="2623"/>
      <c r="Y44" s="2623"/>
      <c r="Z44" s="2623"/>
    </row>
    <row r="45" spans="1:26" ht="13.5" thickBot="1">
      <c r="A45" s="2569" t="s">
        <v>2605</v>
      </c>
      <c r="B45" s="2575">
        <v>188</v>
      </c>
      <c r="C45" s="2575">
        <v>165</v>
      </c>
      <c r="D45" s="2575">
        <f t="shared" si="28"/>
        <v>165</v>
      </c>
      <c r="E45" s="2575">
        <v>254</v>
      </c>
      <c r="F45" s="2576">
        <v>148</v>
      </c>
      <c r="G45" s="3621">
        <v>2007</v>
      </c>
      <c r="H45" s="2624">
        <v>4</v>
      </c>
      <c r="I45" s="2624">
        <v>5.51</v>
      </c>
      <c r="J45" s="2624">
        <v>4.8899999999999997</v>
      </c>
      <c r="K45" s="2624">
        <v>6.43</v>
      </c>
      <c r="L45" s="2625">
        <v>5.36</v>
      </c>
      <c r="N45" s="2626">
        <f t="shared" ref="N45:O48" si="48">B45/B46-1</f>
        <v>4.1339718365245526E-2</v>
      </c>
      <c r="O45" s="2627">
        <f t="shared" si="48"/>
        <v>4.0324492593776018E-2</v>
      </c>
      <c r="P45" s="2627">
        <f t="shared" ref="P45:Q48" si="49">E45/E46-1</f>
        <v>6.1625555347990968E-2</v>
      </c>
      <c r="Q45" s="2627">
        <f t="shared" si="49"/>
        <v>4.6757569250590603E-2</v>
      </c>
      <c r="R45" s="2580"/>
      <c r="S45" s="2581"/>
      <c r="T45" s="2582"/>
      <c r="U45" s="2582"/>
      <c r="V45" s="2582"/>
      <c r="X45" s="2582"/>
      <c r="Y45" s="2582"/>
      <c r="Z45" s="2582"/>
    </row>
    <row r="46" spans="1:26">
      <c r="A46" s="2569" t="s">
        <v>2606</v>
      </c>
      <c r="B46" s="2583">
        <f t="shared" ref="B46:C48" si="50">B47+(B$45-B$49)*I46/SUM(I$45:I$48)</f>
        <v>180.5366651097618</v>
      </c>
      <c r="C46" s="2583">
        <f t="shared" si="50"/>
        <v>158.60435967302453</v>
      </c>
      <c r="D46" s="2583">
        <f t="shared" si="28"/>
        <v>158.60435967302453</v>
      </c>
      <c r="E46" s="2583">
        <f t="shared" ref="E46:F48" si="51">E47+(E$45-E$49)*K46/SUM(K$45:K$48)</f>
        <v>239.25573260785075</v>
      </c>
      <c r="F46" s="2583">
        <f t="shared" si="51"/>
        <v>141.38899430740037</v>
      </c>
      <c r="G46" s="3622">
        <v>2007</v>
      </c>
      <c r="H46" s="2594">
        <v>3</v>
      </c>
      <c r="I46" s="2594">
        <v>8.65</v>
      </c>
      <c r="J46" s="2594">
        <v>8.06</v>
      </c>
      <c r="K46" s="2594">
        <v>9.94</v>
      </c>
      <c r="L46" s="2595">
        <v>5.8</v>
      </c>
      <c r="N46" s="2626">
        <f t="shared" si="48"/>
        <v>6.940217571740015E-2</v>
      </c>
      <c r="O46" s="2627">
        <f t="shared" si="48"/>
        <v>7.1197482471153428E-2</v>
      </c>
      <c r="P46" s="2627">
        <f t="shared" si="49"/>
        <v>0.10529679922579582</v>
      </c>
      <c r="Q46" s="2627">
        <f t="shared" si="49"/>
        <v>5.3292245059512133E-2</v>
      </c>
      <c r="R46" s="2580"/>
      <c r="S46" s="2578"/>
      <c r="T46" s="2579"/>
      <c r="U46" s="2579"/>
      <c r="V46" s="2579"/>
      <c r="X46" s="2628"/>
      <c r="Y46" s="2628"/>
      <c r="Z46" s="2628"/>
    </row>
    <row r="47" spans="1:26">
      <c r="A47" s="2569" t="s">
        <v>2607</v>
      </c>
      <c r="B47" s="2583">
        <f t="shared" si="50"/>
        <v>168.82017748715555</v>
      </c>
      <c r="C47" s="2583">
        <f t="shared" si="50"/>
        <v>148.06267029972753</v>
      </c>
      <c r="D47" s="2583">
        <f t="shared" si="28"/>
        <v>148.06267029972753</v>
      </c>
      <c r="E47" s="2583">
        <f t="shared" si="51"/>
        <v>216.46288379323747</v>
      </c>
      <c r="F47" s="2583">
        <f t="shared" si="51"/>
        <v>134.23529411764704</v>
      </c>
      <c r="G47" s="3622">
        <v>2007</v>
      </c>
      <c r="H47" s="2574">
        <v>2</v>
      </c>
      <c r="I47" s="2574">
        <v>3.67</v>
      </c>
      <c r="J47" s="2574">
        <v>2.3199999999999998</v>
      </c>
      <c r="K47" s="2574">
        <v>5.0199999999999996</v>
      </c>
      <c r="L47" s="2585">
        <v>6.71</v>
      </c>
      <c r="N47" s="2626">
        <f t="shared" si="48"/>
        <v>3.0339138143848032E-2</v>
      </c>
      <c r="O47" s="2627">
        <f t="shared" si="48"/>
        <v>2.0922341588790472E-2</v>
      </c>
      <c r="P47" s="2627">
        <f t="shared" si="49"/>
        <v>5.6164796592717003E-2</v>
      </c>
      <c r="Q47" s="2627">
        <f t="shared" si="49"/>
        <v>6.5704536723887319E-2</v>
      </c>
      <c r="R47" s="2580"/>
      <c r="S47" s="2578"/>
      <c r="T47" s="2579"/>
      <c r="U47" s="2579"/>
      <c r="V47" s="2579"/>
      <c r="X47" s="2628"/>
      <c r="Y47" s="2628"/>
      <c r="Z47" s="2628"/>
    </row>
    <row r="48" spans="1:26">
      <c r="A48" s="2569" t="s">
        <v>2608</v>
      </c>
      <c r="B48" s="2583">
        <f t="shared" si="50"/>
        <v>163.84913591779542</v>
      </c>
      <c r="C48" s="2583">
        <f t="shared" si="50"/>
        <v>145.0283378746594</v>
      </c>
      <c r="D48" s="2583">
        <f t="shared" si="28"/>
        <v>145.0283378746594</v>
      </c>
      <c r="E48" s="2583">
        <f t="shared" si="51"/>
        <v>204.95180722891567</v>
      </c>
      <c r="F48" s="2583">
        <f t="shared" si="51"/>
        <v>125.95920303605313</v>
      </c>
      <c r="G48" s="3623">
        <v>2007</v>
      </c>
      <c r="H48" s="2573">
        <v>1</v>
      </c>
      <c r="I48" s="2573">
        <v>3.58</v>
      </c>
      <c r="J48" s="2573">
        <v>3.08</v>
      </c>
      <c r="K48" s="2573">
        <v>4.34</v>
      </c>
      <c r="L48" s="2584">
        <v>3.21</v>
      </c>
      <c r="N48" s="2629">
        <f t="shared" si="48"/>
        <v>3.0497710174814063E-2</v>
      </c>
      <c r="O48" s="2630">
        <f t="shared" si="48"/>
        <v>2.8569772160704998E-2</v>
      </c>
      <c r="P48" s="2630">
        <f t="shared" si="49"/>
        <v>5.1034908866234296E-2</v>
      </c>
      <c r="Q48" s="2630">
        <f t="shared" si="49"/>
        <v>3.245248390207478E-2</v>
      </c>
      <c r="R48" s="2580"/>
      <c r="S48" s="2586">
        <f>B48/B49-1</f>
        <v>3.0497710174814063E-2</v>
      </c>
      <c r="T48" s="2587">
        <f>C48/C49-1</f>
        <v>2.8569772160704998E-2</v>
      </c>
      <c r="U48" s="2587">
        <f>E48/E49-1</f>
        <v>5.1034908866234296E-2</v>
      </c>
      <c r="V48" s="2587">
        <f>F48/F49-1</f>
        <v>3.245248390207478E-2</v>
      </c>
      <c r="X48" s="2628"/>
      <c r="Y48" s="2628"/>
      <c r="Z48" s="2628"/>
    </row>
    <row r="49" spans="1:26" ht="13.5" thickBot="1">
      <c r="A49" s="2569" t="s">
        <v>2609</v>
      </c>
      <c r="B49" s="2597">
        <v>159</v>
      </c>
      <c r="C49" s="2597">
        <v>141</v>
      </c>
      <c r="D49" s="2597">
        <f t="shared" si="28"/>
        <v>141</v>
      </c>
      <c r="E49" s="2597">
        <v>195</v>
      </c>
      <c r="F49" s="2598">
        <v>122</v>
      </c>
      <c r="G49" s="3621">
        <v>2006</v>
      </c>
      <c r="H49" s="2589">
        <v>4</v>
      </c>
      <c r="I49" s="2589">
        <v>3.79</v>
      </c>
      <c r="J49" s="2589">
        <v>2.21</v>
      </c>
      <c r="K49" s="2589">
        <v>5.65</v>
      </c>
      <c r="L49" s="2590">
        <v>5.41</v>
      </c>
      <c r="N49" s="2626">
        <f t="shared" ref="N49:O52" si="52">I49/SUM(I$49:I$52)*(B$49/B$53-1)</f>
        <v>7.245466462748526E-2</v>
      </c>
      <c r="O49" s="2627">
        <f t="shared" si="52"/>
        <v>2.3237230038062766E-2</v>
      </c>
      <c r="P49" s="2627">
        <f t="shared" ref="P49:Q52" si="53">K49/SUM(K$49:K$52)*(E$49/E$53-1)</f>
        <v>0.16146893866323722</v>
      </c>
      <c r="Q49" s="2627">
        <f t="shared" si="53"/>
        <v>5.0755230321793784E-2</v>
      </c>
      <c r="R49" s="2580"/>
      <c r="S49" s="2581"/>
      <c r="T49" s="2582"/>
      <c r="U49" s="2582"/>
      <c r="V49" s="2582"/>
      <c r="X49" s="2628"/>
      <c r="Y49" s="2628"/>
      <c r="Z49" s="2628"/>
    </row>
    <row r="50" spans="1:26">
      <c r="A50" s="2569" t="s">
        <v>2610</v>
      </c>
      <c r="B50" s="2583">
        <f t="shared" ref="B50:C52" si="54">B51+(B$49-B$53)*I50/SUM(I$49:I$52)</f>
        <v>149.00125628140702</v>
      </c>
      <c r="C50" s="2583">
        <f t="shared" si="54"/>
        <v>137.95592286501378</v>
      </c>
      <c r="D50" s="2583">
        <f t="shared" si="28"/>
        <v>137.95592286501378</v>
      </c>
      <c r="E50" s="2583">
        <f t="shared" ref="E50:F52" si="55">E51+(E$49-E$53)*K50/SUM(K$49:K$52)</f>
        <v>169.97231450719823</v>
      </c>
      <c r="F50" s="2583">
        <f t="shared" si="55"/>
        <v>116.21390374331551</v>
      </c>
      <c r="G50" s="3622">
        <v>2006</v>
      </c>
      <c r="H50" s="2594">
        <v>3</v>
      </c>
      <c r="I50" s="2594">
        <v>0.92</v>
      </c>
      <c r="J50" s="2594">
        <v>1.08</v>
      </c>
      <c r="K50" s="2594">
        <v>0.73</v>
      </c>
      <c r="L50" s="2595">
        <v>1.08</v>
      </c>
      <c r="N50" s="2626">
        <f t="shared" si="52"/>
        <v>1.7587939698492462E-2</v>
      </c>
      <c r="O50" s="2627">
        <f t="shared" si="52"/>
        <v>1.1355750425840628E-2</v>
      </c>
      <c r="P50" s="2627">
        <f t="shared" si="53"/>
        <v>2.0862358446754544E-2</v>
      </c>
      <c r="Q50" s="2627">
        <f t="shared" si="53"/>
        <v>1.0132282578103011E-2</v>
      </c>
      <c r="R50" s="2580"/>
      <c r="S50" s="2578"/>
      <c r="T50" s="2579"/>
      <c r="U50" s="2579"/>
      <c r="V50" s="2579"/>
      <c r="X50" s="2628"/>
      <c r="Y50" s="2628"/>
      <c r="Z50" s="2628"/>
    </row>
    <row r="51" spans="1:26">
      <c r="A51" s="2569" t="s">
        <v>2611</v>
      </c>
      <c r="B51" s="2583">
        <f t="shared" si="54"/>
        <v>146.57412060301507</v>
      </c>
      <c r="C51" s="2583">
        <f t="shared" si="54"/>
        <v>136.46831955922866</v>
      </c>
      <c r="D51" s="2583">
        <f t="shared" si="28"/>
        <v>136.46831955922866</v>
      </c>
      <c r="E51" s="2583">
        <f t="shared" si="55"/>
        <v>166.73864894795128</v>
      </c>
      <c r="F51" s="2583">
        <f t="shared" si="55"/>
        <v>115.05882352941177</v>
      </c>
      <c r="G51" s="3622">
        <v>2006</v>
      </c>
      <c r="H51" s="2574">
        <v>2</v>
      </c>
      <c r="I51" s="2574">
        <v>0.96</v>
      </c>
      <c r="J51" s="2574">
        <v>0.25</v>
      </c>
      <c r="K51" s="2574">
        <v>1.9</v>
      </c>
      <c r="L51" s="2585">
        <v>0.95</v>
      </c>
      <c r="N51" s="2626">
        <f t="shared" si="52"/>
        <v>1.8352632728861701E-2</v>
      </c>
      <c r="O51" s="2627">
        <f t="shared" si="52"/>
        <v>2.6286459319075526E-3</v>
      </c>
      <c r="P51" s="2627">
        <f t="shared" si="53"/>
        <v>5.4299289107991269E-2</v>
      </c>
      <c r="Q51" s="2627">
        <f t="shared" si="53"/>
        <v>8.9126559714794995E-3</v>
      </c>
      <c r="R51" s="2580"/>
      <c r="S51" s="2578"/>
      <c r="T51" s="2579"/>
      <c r="U51" s="2579"/>
      <c r="V51" s="2579"/>
      <c r="X51" s="2628"/>
      <c r="Y51" s="2628"/>
      <c r="Z51" s="2628"/>
    </row>
    <row r="52" spans="1:26">
      <c r="A52" s="2569" t="s">
        <v>2612</v>
      </c>
      <c r="B52" s="2583">
        <f t="shared" si="54"/>
        <v>144.04145728643215</v>
      </c>
      <c r="C52" s="2583">
        <f t="shared" si="54"/>
        <v>136.12396694214877</v>
      </c>
      <c r="D52" s="2583">
        <f t="shared" si="28"/>
        <v>136.12396694214877</v>
      </c>
      <c r="E52" s="2583">
        <f t="shared" si="55"/>
        <v>158.32225913621264</v>
      </c>
      <c r="F52" s="2583">
        <f t="shared" si="55"/>
        <v>114.04278074866311</v>
      </c>
      <c r="G52" s="3623">
        <v>2006</v>
      </c>
      <c r="H52" s="2573">
        <v>1</v>
      </c>
      <c r="I52" s="2573">
        <v>2.29</v>
      </c>
      <c r="J52" s="2573">
        <v>3.72</v>
      </c>
      <c r="K52" s="2573">
        <v>0.75</v>
      </c>
      <c r="L52" s="2584">
        <v>0.04</v>
      </c>
      <c r="N52" s="2629">
        <f t="shared" si="52"/>
        <v>4.3778675988638847E-2</v>
      </c>
      <c r="O52" s="2630">
        <f t="shared" si="52"/>
        <v>3.9114251466784385E-2</v>
      </c>
      <c r="P52" s="2630">
        <f t="shared" si="53"/>
        <v>2.1433929911049188E-2</v>
      </c>
      <c r="Q52" s="2630">
        <f t="shared" si="53"/>
        <v>3.7526972511492629E-4</v>
      </c>
      <c r="R52" s="2580"/>
      <c r="S52" s="2586">
        <f>B52/B53-1</f>
        <v>4.3778675988638716E-2</v>
      </c>
      <c r="T52" s="2587">
        <f>C52/C53-1</f>
        <v>3.91142514667846E-2</v>
      </c>
      <c r="U52" s="2587">
        <f>E52/E53-1</f>
        <v>2.143392991104931E-2</v>
      </c>
      <c r="V52" s="2587">
        <f>F52/F53-1</f>
        <v>3.7526972511492396E-4</v>
      </c>
      <c r="X52" s="2628"/>
      <c r="Y52" s="2628"/>
      <c r="Z52" s="2628"/>
    </row>
    <row r="53" spans="1:26" ht="13.5" thickBot="1">
      <c r="A53" s="2569" t="s">
        <v>2613</v>
      </c>
      <c r="B53" s="2597">
        <v>138</v>
      </c>
      <c r="C53" s="2597">
        <v>131</v>
      </c>
      <c r="D53" s="2597">
        <f t="shared" si="28"/>
        <v>131</v>
      </c>
      <c r="E53" s="2597">
        <v>155</v>
      </c>
      <c r="F53" s="2598">
        <v>114</v>
      </c>
      <c r="G53" s="3621">
        <v>2005</v>
      </c>
      <c r="H53" s="2589">
        <v>4</v>
      </c>
      <c r="I53" s="2589">
        <v>3.29</v>
      </c>
      <c r="J53" s="2589">
        <v>1.44</v>
      </c>
      <c r="K53" s="2589">
        <v>0.66</v>
      </c>
      <c r="L53" s="2590">
        <v>7.78</v>
      </c>
      <c r="N53" s="2626">
        <f t="shared" ref="N53:O56" si="56">I53/SUM(I$53:I$56)*(B$53/B$57-1)</f>
        <v>9.9404603216919935E-2</v>
      </c>
      <c r="O53" s="2627">
        <f t="shared" si="56"/>
        <v>4.7636550760861554E-2</v>
      </c>
      <c r="P53" s="2627">
        <f t="shared" ref="P53:Q56" si="57">K53/SUM(K$53:K$56)*(E$53/E$57-1)</f>
        <v>8.3756345177664976E-2</v>
      </c>
      <c r="Q53" s="2627">
        <f t="shared" si="57"/>
        <v>5.2148766661559584E-2</v>
      </c>
      <c r="R53" s="2580"/>
      <c r="S53" s="2581"/>
      <c r="T53" s="2582"/>
      <c r="U53" s="2582"/>
      <c r="V53" s="2582"/>
      <c r="X53" s="2628"/>
      <c r="Y53" s="2628"/>
      <c r="Z53" s="2628"/>
    </row>
    <row r="54" spans="1:26">
      <c r="A54" s="2569" t="s">
        <v>2614</v>
      </c>
      <c r="B54" s="2583">
        <f t="shared" ref="B54:C56" si="58">B55+(B$53-B$57)*I54/SUM(I$53:I$56)</f>
        <v>125.9720430107527</v>
      </c>
      <c r="C54" s="2583">
        <f t="shared" si="58"/>
        <v>125.1883408071749</v>
      </c>
      <c r="D54" s="2583">
        <f t="shared" si="28"/>
        <v>125.1883408071749</v>
      </c>
      <c r="E54" s="2583">
        <f t="shared" ref="E54:F56" si="59">E55+(E$53-E$57)*K54/SUM(K$53:K$56)</f>
        <v>144.61421319796952</v>
      </c>
      <c r="F54" s="2583">
        <f t="shared" si="59"/>
        <v>108.42008196721311</v>
      </c>
      <c r="G54" s="3622">
        <v>2005</v>
      </c>
      <c r="H54" s="2594">
        <v>3</v>
      </c>
      <c r="I54" s="2594">
        <v>0.46</v>
      </c>
      <c r="J54" s="2594">
        <v>0.32</v>
      </c>
      <c r="K54" s="2594">
        <v>0.42</v>
      </c>
      <c r="L54" s="2595">
        <v>0.64</v>
      </c>
      <c r="N54" s="2626">
        <f t="shared" si="56"/>
        <v>1.3898515951301874E-2</v>
      </c>
      <c r="O54" s="2627">
        <f t="shared" si="56"/>
        <v>1.0585900169080346E-2</v>
      </c>
      <c r="P54" s="2627">
        <f t="shared" si="57"/>
        <v>5.3299492385786795E-2</v>
      </c>
      <c r="Q54" s="2627">
        <f t="shared" si="57"/>
        <v>4.2898728359123568E-3</v>
      </c>
      <c r="R54" s="2580"/>
      <c r="S54" s="2578"/>
      <c r="T54" s="2579"/>
      <c r="U54" s="2579"/>
      <c r="V54" s="2579"/>
      <c r="X54" s="2628"/>
      <c r="Y54" s="2628"/>
      <c r="Z54" s="2628"/>
    </row>
    <row r="55" spans="1:26">
      <c r="A55" s="2569" t="s">
        <v>2615</v>
      </c>
      <c r="B55" s="2583">
        <f t="shared" si="58"/>
        <v>124.29032258064517</v>
      </c>
      <c r="C55" s="2583">
        <f t="shared" si="58"/>
        <v>123.8968609865471</v>
      </c>
      <c r="D55" s="2583">
        <f t="shared" si="28"/>
        <v>123.8968609865471</v>
      </c>
      <c r="E55" s="2583">
        <f t="shared" si="59"/>
        <v>138.00507614213197</v>
      </c>
      <c r="F55" s="2583">
        <f t="shared" si="59"/>
        <v>107.96106557377048</v>
      </c>
      <c r="G55" s="3622">
        <v>2005</v>
      </c>
      <c r="H55" s="2574">
        <v>2</v>
      </c>
      <c r="I55" s="2574">
        <v>0.47</v>
      </c>
      <c r="J55" s="2574">
        <v>0.1</v>
      </c>
      <c r="K55" s="2574">
        <v>0.52</v>
      </c>
      <c r="L55" s="2585">
        <v>0.79</v>
      </c>
      <c r="N55" s="2626">
        <f t="shared" si="56"/>
        <v>1.420065760241713E-2</v>
      </c>
      <c r="O55" s="2627">
        <f t="shared" si="56"/>
        <v>3.3080938028376083E-3</v>
      </c>
      <c r="P55" s="2627">
        <f t="shared" si="57"/>
        <v>6.598984771573603E-2</v>
      </c>
      <c r="Q55" s="2627">
        <f t="shared" si="57"/>
        <v>5.2953117818293153E-3</v>
      </c>
      <c r="R55" s="2580"/>
      <c r="S55" s="2578"/>
      <c r="T55" s="2579"/>
      <c r="U55" s="2579"/>
      <c r="V55" s="2579"/>
      <c r="X55" s="2628"/>
      <c r="Y55" s="2628"/>
      <c r="Z55" s="2628"/>
    </row>
    <row r="56" spans="1:26">
      <c r="A56" s="2569" t="s">
        <v>2616</v>
      </c>
      <c r="B56" s="2583">
        <f t="shared" si="58"/>
        <v>122.57204301075269</v>
      </c>
      <c r="C56" s="2583">
        <f t="shared" si="58"/>
        <v>123.4932735426009</v>
      </c>
      <c r="D56" s="2583">
        <f t="shared" si="28"/>
        <v>123.4932735426009</v>
      </c>
      <c r="E56" s="2583">
        <f t="shared" si="59"/>
        <v>129.82233502538071</v>
      </c>
      <c r="F56" s="2583">
        <f t="shared" si="59"/>
        <v>107.39446721311475</v>
      </c>
      <c r="G56" s="3623">
        <v>2005</v>
      </c>
      <c r="H56" s="2573">
        <v>1</v>
      </c>
      <c r="I56" s="2573">
        <v>0.43</v>
      </c>
      <c r="J56" s="2573">
        <v>0.37</v>
      </c>
      <c r="K56" s="2573">
        <v>0.37</v>
      </c>
      <c r="L56" s="2584">
        <v>0.55000000000000004</v>
      </c>
      <c r="N56" s="2629">
        <f t="shared" si="56"/>
        <v>1.2992090997956099E-2</v>
      </c>
      <c r="O56" s="2630">
        <f t="shared" si="56"/>
        <v>1.2239947070499151E-2</v>
      </c>
      <c r="P56" s="2630">
        <f t="shared" si="57"/>
        <v>4.6954314720812178E-2</v>
      </c>
      <c r="Q56" s="2630">
        <f t="shared" si="57"/>
        <v>3.6866094683621815E-3</v>
      </c>
      <c r="R56" s="2580"/>
      <c r="S56" s="2586">
        <f>B56/B57-1</f>
        <v>1.2992090997956174E-2</v>
      </c>
      <c r="T56" s="2587">
        <f>C56/C57-1</f>
        <v>1.2239947070499246E-2</v>
      </c>
      <c r="U56" s="2587">
        <f>E56/E57-1</f>
        <v>4.695431472081224E-2</v>
      </c>
      <c r="V56" s="2587">
        <f>F56/F57-1</f>
        <v>3.6866094683620787E-3</v>
      </c>
      <c r="X56" s="2628"/>
      <c r="Y56" s="2628"/>
      <c r="Z56" s="2628"/>
    </row>
    <row r="57" spans="1:26" ht="13.5" thickBot="1">
      <c r="A57" s="2569" t="s">
        <v>2617</v>
      </c>
      <c r="B57" s="2613">
        <v>121</v>
      </c>
      <c r="C57" s="2613">
        <v>122</v>
      </c>
      <c r="D57" s="2613">
        <f t="shared" si="28"/>
        <v>122</v>
      </c>
      <c r="E57" s="2613">
        <v>124</v>
      </c>
      <c r="F57" s="2614">
        <v>107</v>
      </c>
      <c r="G57" s="3621">
        <v>2004</v>
      </c>
      <c r="H57" s="2589">
        <v>4</v>
      </c>
      <c r="I57" s="2589">
        <v>0.33</v>
      </c>
      <c r="J57" s="2589">
        <v>0.5</v>
      </c>
      <c r="K57" s="2589">
        <v>0.5</v>
      </c>
      <c r="L57" s="2590">
        <v>0</v>
      </c>
      <c r="N57" s="2626">
        <f t="shared" ref="N57:O60" si="60">I57/SUM(I$57:I$60)*(B$57/B$61-1)</f>
        <v>1.3391770148526898E-2</v>
      </c>
      <c r="O57" s="2627">
        <f t="shared" si="60"/>
        <v>1.063264221158958E-2</v>
      </c>
      <c r="P57" s="2627">
        <f t="shared" ref="P57:Q60" si="61">K57/SUM(K$57:K$60)*(E$57/E$61-1)</f>
        <v>2.2244466688911134E-2</v>
      </c>
      <c r="Q57" s="2627">
        <f t="shared" si="61"/>
        <v>0</v>
      </c>
      <c r="R57" s="2580"/>
      <c r="S57" s="2581"/>
      <c r="T57" s="2582"/>
      <c r="U57" s="2582"/>
      <c r="V57" s="2582"/>
      <c r="X57" s="2628"/>
      <c r="Y57" s="2628"/>
      <c r="Z57" s="2628"/>
    </row>
    <row r="58" spans="1:26">
      <c r="A58" s="2569" t="s">
        <v>2618</v>
      </c>
      <c r="B58" s="2583">
        <f t="shared" ref="B58:C60" si="62">B59+(B$57-B$61)*I58/SUM(I$57:I$60)</f>
        <v>119.51351351351352</v>
      </c>
      <c r="C58" s="2583">
        <f t="shared" si="62"/>
        <v>120.7878787878788</v>
      </c>
      <c r="D58" s="2583">
        <f t="shared" si="28"/>
        <v>120.7878787878788</v>
      </c>
      <c r="E58" s="2583">
        <f t="shared" ref="E58:F60" si="63">E59+(E$57-E$61)*K58/SUM(K$57:K$60)</f>
        <v>121.5975975975976</v>
      </c>
      <c r="F58" s="2583">
        <f t="shared" si="63"/>
        <v>107</v>
      </c>
      <c r="G58" s="3622">
        <v>2004</v>
      </c>
      <c r="H58" s="2594">
        <v>3</v>
      </c>
      <c r="I58" s="2594">
        <v>0.56000000000000005</v>
      </c>
      <c r="J58" s="2594">
        <v>0.8</v>
      </c>
      <c r="K58" s="2594">
        <v>0.83</v>
      </c>
      <c r="L58" s="2595">
        <v>0.06</v>
      </c>
      <c r="N58" s="2626">
        <f t="shared" si="60"/>
        <v>2.2725428130833527E-2</v>
      </c>
      <c r="O58" s="2627">
        <f t="shared" si="60"/>
        <v>1.7012227538543329E-2</v>
      </c>
      <c r="P58" s="2627">
        <f t="shared" si="61"/>
        <v>3.6925814703592477E-2</v>
      </c>
      <c r="Q58" s="2627">
        <f t="shared" si="61"/>
        <v>2.8846153846153744E-2</v>
      </c>
      <c r="R58" s="2580"/>
      <c r="S58" s="2578"/>
      <c r="T58" s="2579"/>
      <c r="U58" s="2579"/>
      <c r="V58" s="2579"/>
      <c r="X58" s="2628"/>
      <c r="Y58" s="2628"/>
      <c r="Z58" s="2628"/>
    </row>
    <row r="59" spans="1:26">
      <c r="A59" s="2569" t="s">
        <v>2619</v>
      </c>
      <c r="B59" s="2583">
        <f t="shared" si="62"/>
        <v>116.99099099099099</v>
      </c>
      <c r="C59" s="2583">
        <f t="shared" si="62"/>
        <v>118.84848484848486</v>
      </c>
      <c r="D59" s="2583">
        <f t="shared" si="28"/>
        <v>118.84848484848486</v>
      </c>
      <c r="E59" s="2583">
        <f t="shared" si="63"/>
        <v>117.60960960960961</v>
      </c>
      <c r="F59" s="2583">
        <f t="shared" si="63"/>
        <v>104</v>
      </c>
      <c r="G59" s="3622">
        <v>2004</v>
      </c>
      <c r="H59" s="2574">
        <v>2</v>
      </c>
      <c r="I59" s="2574">
        <v>1</v>
      </c>
      <c r="J59" s="2574">
        <v>1.5</v>
      </c>
      <c r="K59" s="2574">
        <v>1.5</v>
      </c>
      <c r="L59" s="2585">
        <v>0</v>
      </c>
      <c r="N59" s="2626">
        <f t="shared" si="60"/>
        <v>4.0581121662202721E-2</v>
      </c>
      <c r="O59" s="2627">
        <f t="shared" si="60"/>
        <v>3.1897926634768738E-2</v>
      </c>
      <c r="P59" s="2627">
        <f t="shared" si="61"/>
        <v>6.6733400066733395E-2</v>
      </c>
      <c r="Q59" s="2627">
        <f t="shared" si="61"/>
        <v>0</v>
      </c>
      <c r="R59" s="2580"/>
      <c r="S59" s="2578"/>
      <c r="T59" s="2579"/>
      <c r="U59" s="2579"/>
      <c r="V59" s="2579"/>
      <c r="X59" s="2628"/>
      <c r="Y59" s="2628"/>
      <c r="Z59" s="2628"/>
    </row>
    <row r="60" spans="1:26" s="2619" customFormat="1" ht="13.5" thickBot="1">
      <c r="A60" s="2569" t="s">
        <v>2620</v>
      </c>
      <c r="B60" s="2616">
        <f t="shared" si="62"/>
        <v>112.48648648648648</v>
      </c>
      <c r="C60" s="2616">
        <f t="shared" si="62"/>
        <v>115.21212121212122</v>
      </c>
      <c r="D60" s="2616">
        <f t="shared" si="28"/>
        <v>115.21212121212122</v>
      </c>
      <c r="E60" s="2616">
        <f t="shared" si="63"/>
        <v>110.4024024024024</v>
      </c>
      <c r="F60" s="2616">
        <f t="shared" si="63"/>
        <v>104</v>
      </c>
      <c r="G60" s="3623">
        <v>2004</v>
      </c>
      <c r="H60" s="2617">
        <v>1</v>
      </c>
      <c r="I60" s="2617">
        <v>0.33</v>
      </c>
      <c r="J60" s="2617">
        <v>0.5</v>
      </c>
      <c r="K60" s="2617">
        <v>0.5</v>
      </c>
      <c r="L60" s="2618">
        <v>0</v>
      </c>
      <c r="N60" s="2631">
        <f t="shared" si="60"/>
        <v>1.3391770148526898E-2</v>
      </c>
      <c r="O60" s="2632">
        <f t="shared" si="60"/>
        <v>1.063264221158958E-2</v>
      </c>
      <c r="P60" s="2632">
        <f t="shared" si="61"/>
        <v>2.2244466688911134E-2</v>
      </c>
      <c r="Q60" s="2632">
        <f t="shared" si="61"/>
        <v>0</v>
      </c>
      <c r="R60" s="2622"/>
      <c r="S60" s="2620">
        <f>B60/B61-1</f>
        <v>1.3391770148526883E-2</v>
      </c>
      <c r="T60" s="2621">
        <f>C60/C61-1</f>
        <v>1.063264221158966E-2</v>
      </c>
      <c r="U60" s="2621">
        <f>E60/E61-1</f>
        <v>2.2244466688911224E-2</v>
      </c>
      <c r="V60" s="2621">
        <f>F60/F61-1</f>
        <v>0</v>
      </c>
      <c r="X60" s="2633"/>
      <c r="Y60" s="2633"/>
      <c r="Z60" s="2633"/>
    </row>
    <row r="61" spans="1:26" ht="13.5" thickBot="1">
      <c r="A61" s="2569" t="s">
        <v>2621</v>
      </c>
      <c r="B61" s="2634">
        <v>111</v>
      </c>
      <c r="C61" s="2634">
        <v>114</v>
      </c>
      <c r="D61" s="2634">
        <f t="shared" si="28"/>
        <v>114</v>
      </c>
      <c r="E61" s="2634">
        <v>108</v>
      </c>
      <c r="F61" s="2635">
        <v>104</v>
      </c>
      <c r="G61" s="3621">
        <v>2003</v>
      </c>
      <c r="H61" s="2624">
        <v>4</v>
      </c>
      <c r="I61" s="2636"/>
      <c r="J61" s="2636"/>
      <c r="K61" s="2636"/>
      <c r="L61" s="2636"/>
      <c r="N61" s="2637"/>
      <c r="O61" s="2636"/>
      <c r="P61" s="2636"/>
      <c r="Q61" s="2636"/>
      <c r="S61" s="2637"/>
      <c r="T61" s="2636"/>
      <c r="U61" s="2636"/>
      <c r="V61" s="2636"/>
      <c r="X61" s="2628"/>
      <c r="Y61" s="2628"/>
      <c r="Z61" s="2628"/>
    </row>
    <row r="62" spans="1:26">
      <c r="A62" s="2569" t="s">
        <v>2622</v>
      </c>
      <c r="B62" s="2638">
        <f t="shared" ref="B62:C64" si="64">B63+(B$61-B$65)/4</f>
        <v>109.75</v>
      </c>
      <c r="C62" s="2638">
        <f t="shared" si="64"/>
        <v>112.25</v>
      </c>
      <c r="D62" s="2638">
        <f t="shared" si="28"/>
        <v>112.25</v>
      </c>
      <c r="E62" s="2638">
        <f t="shared" ref="E62:F64" si="65">E63+(E$61-E$65)/4</f>
        <v>107.25</v>
      </c>
      <c r="F62" s="2638">
        <f t="shared" si="65"/>
        <v>103.5</v>
      </c>
      <c r="G62" s="3622">
        <v>2003</v>
      </c>
      <c r="H62" s="2594">
        <v>3</v>
      </c>
      <c r="I62" s="2636"/>
      <c r="J62" s="2636"/>
      <c r="K62" s="2636"/>
      <c r="L62" s="2636"/>
      <c r="X62" s="2628"/>
      <c r="Y62" s="2628"/>
      <c r="Z62" s="2628"/>
    </row>
    <row r="63" spans="1:26">
      <c r="A63" s="2569" t="s">
        <v>2623</v>
      </c>
      <c r="B63" s="2638">
        <f t="shared" si="64"/>
        <v>108.5</v>
      </c>
      <c r="C63" s="2638">
        <f t="shared" si="64"/>
        <v>110.5</v>
      </c>
      <c r="D63" s="2638">
        <f t="shared" si="28"/>
        <v>110.5</v>
      </c>
      <c r="E63" s="2638">
        <f t="shared" si="65"/>
        <v>106.5</v>
      </c>
      <c r="F63" s="2638">
        <f t="shared" si="65"/>
        <v>103</v>
      </c>
      <c r="G63" s="3622">
        <v>2003</v>
      </c>
      <c r="H63" s="2574">
        <v>2</v>
      </c>
      <c r="I63" s="2636"/>
      <c r="J63" s="2636"/>
      <c r="K63" s="2636"/>
      <c r="L63" s="2636"/>
      <c r="X63" s="2628"/>
      <c r="Y63" s="2628"/>
      <c r="Z63" s="2628"/>
    </row>
    <row r="64" spans="1:26" ht="13.5" thickBot="1">
      <c r="A64" s="2569" t="s">
        <v>2624</v>
      </c>
      <c r="B64" s="2638">
        <f t="shared" si="64"/>
        <v>107.25</v>
      </c>
      <c r="C64" s="2638">
        <f t="shared" si="64"/>
        <v>108.75</v>
      </c>
      <c r="D64" s="2638">
        <f t="shared" si="28"/>
        <v>108.75</v>
      </c>
      <c r="E64" s="2638">
        <f t="shared" si="65"/>
        <v>105.75</v>
      </c>
      <c r="F64" s="2638">
        <f t="shared" si="65"/>
        <v>102.5</v>
      </c>
      <c r="G64" s="3623">
        <v>2003</v>
      </c>
      <c r="H64" s="2639">
        <v>1</v>
      </c>
      <c r="I64" s="2636"/>
      <c r="J64" s="2636"/>
      <c r="K64" s="2636"/>
      <c r="L64" s="2636"/>
      <c r="S64" s="2578"/>
      <c r="T64" s="2579"/>
      <c r="U64" s="2579"/>
      <c r="X64" s="2628"/>
      <c r="Y64" s="2628"/>
      <c r="Z64" s="2628"/>
    </row>
    <row r="65" spans="1:26" ht="13.5" thickBot="1">
      <c r="A65" s="2569" t="s">
        <v>2625</v>
      </c>
      <c r="B65" s="2640">
        <v>106</v>
      </c>
      <c r="C65" s="2640">
        <v>107</v>
      </c>
      <c r="D65" s="2640">
        <f t="shared" si="28"/>
        <v>107</v>
      </c>
      <c r="E65" s="2640">
        <v>105</v>
      </c>
      <c r="F65" s="2641">
        <v>102</v>
      </c>
      <c r="G65" s="3621">
        <v>2002</v>
      </c>
      <c r="H65" s="2589">
        <v>4</v>
      </c>
      <c r="I65" s="2636"/>
      <c r="J65" s="2636"/>
      <c r="K65" s="2636"/>
      <c r="L65" s="2636"/>
      <c r="N65" s="2637"/>
      <c r="O65" s="2636"/>
      <c r="P65" s="2636"/>
      <c r="Q65" s="2636"/>
      <c r="S65" s="2637"/>
      <c r="T65" s="2636"/>
      <c r="U65" s="2636"/>
      <c r="V65" s="2636"/>
      <c r="X65" s="2628"/>
      <c r="Y65" s="2628"/>
      <c r="Z65" s="2628"/>
    </row>
    <row r="66" spans="1:26">
      <c r="A66" s="2569" t="s">
        <v>2626</v>
      </c>
      <c r="B66" s="2638">
        <f t="shared" ref="B66:C68" si="66">B67+(B$65-B$69)/4</f>
        <v>105</v>
      </c>
      <c r="C66" s="2638">
        <f t="shared" si="66"/>
        <v>106</v>
      </c>
      <c r="D66" s="2638">
        <f t="shared" si="28"/>
        <v>106</v>
      </c>
      <c r="E66" s="2638">
        <f t="shared" ref="E66:F68" si="67">E67+(E$65-E$69)/4</f>
        <v>104.5</v>
      </c>
      <c r="F66" s="2638">
        <f t="shared" si="67"/>
        <v>101.5</v>
      </c>
      <c r="G66" s="3622">
        <v>2002</v>
      </c>
      <c r="H66" s="2594">
        <v>3</v>
      </c>
      <c r="I66" s="2636"/>
      <c r="J66" s="2636"/>
      <c r="K66" s="2636"/>
      <c r="L66" s="2636"/>
      <c r="X66" s="2628"/>
      <c r="Y66" s="2628"/>
      <c r="Z66" s="2628"/>
    </row>
    <row r="67" spans="1:26">
      <c r="A67" s="2569" t="s">
        <v>2627</v>
      </c>
      <c r="B67" s="2638">
        <f t="shared" si="66"/>
        <v>104</v>
      </c>
      <c r="C67" s="2638">
        <f t="shared" si="66"/>
        <v>105</v>
      </c>
      <c r="D67" s="2638">
        <f t="shared" si="28"/>
        <v>105</v>
      </c>
      <c r="E67" s="2638">
        <f t="shared" si="67"/>
        <v>104</v>
      </c>
      <c r="F67" s="2638">
        <f t="shared" si="67"/>
        <v>101</v>
      </c>
      <c r="G67" s="3622">
        <v>2002</v>
      </c>
      <c r="H67" s="2574">
        <v>2</v>
      </c>
      <c r="I67" s="2636"/>
      <c r="J67" s="2636"/>
      <c r="K67" s="2636"/>
      <c r="L67" s="2636"/>
      <c r="X67" s="2628"/>
      <c r="Y67" s="2628"/>
      <c r="Z67" s="2628"/>
    </row>
    <row r="68" spans="1:26" s="2605" customFormat="1" ht="13.5" thickBot="1">
      <c r="A68" s="2601" t="s">
        <v>2628</v>
      </c>
      <c r="B68" s="2642">
        <f t="shared" si="66"/>
        <v>103</v>
      </c>
      <c r="C68" s="2642">
        <f t="shared" si="66"/>
        <v>104</v>
      </c>
      <c r="D68" s="2642">
        <f t="shared" si="28"/>
        <v>104</v>
      </c>
      <c r="E68" s="2642">
        <f t="shared" si="67"/>
        <v>103.5</v>
      </c>
      <c r="F68" s="2642">
        <f t="shared" si="67"/>
        <v>100.5</v>
      </c>
      <c r="G68" s="3623">
        <v>2002</v>
      </c>
      <c r="H68" s="2643">
        <v>1</v>
      </c>
      <c r="I68" s="2644"/>
      <c r="J68" s="2644"/>
      <c r="K68" s="2644"/>
      <c r="L68" s="2644"/>
      <c r="N68" s="2645"/>
      <c r="S68" s="2645"/>
      <c r="X68" s="2646"/>
      <c r="Y68" s="2646"/>
      <c r="Z68" s="2646"/>
    </row>
    <row r="69" spans="1:26" ht="13.5" thickBot="1">
      <c r="B69" s="2647">
        <v>102</v>
      </c>
      <c r="C69" s="2648">
        <v>103</v>
      </c>
      <c r="D69" s="2648">
        <f t="shared" si="28"/>
        <v>103</v>
      </c>
      <c r="E69" s="2648">
        <v>103</v>
      </c>
      <c r="F69" s="2649">
        <v>100</v>
      </c>
      <c r="I69" s="2636"/>
      <c r="J69" s="2636"/>
      <c r="K69" s="2636"/>
      <c r="L69" s="2636"/>
      <c r="N69" s="2637"/>
      <c r="O69" s="2636"/>
      <c r="P69" s="2636"/>
      <c r="Q69" s="2636"/>
      <c r="S69" s="2637"/>
      <c r="T69" s="2636"/>
      <c r="U69" s="2636"/>
      <c r="V69" s="2636"/>
      <c r="X69" s="2582"/>
      <c r="Y69" s="2582"/>
      <c r="Z69" s="2582"/>
    </row>
    <row r="71" spans="1:26" s="2651" customFormat="1">
      <c r="A71" s="2650" t="s">
        <v>2629</v>
      </c>
      <c r="G71" s="2652"/>
      <c r="N71" s="2652"/>
      <c r="S71" s="2652"/>
    </row>
    <row r="72" spans="1:26" s="2651" customFormat="1">
      <c r="A72" s="2651" t="s">
        <v>2630</v>
      </c>
      <c r="G72" s="2652"/>
      <c r="N72" s="2652"/>
      <c r="S72" s="2652"/>
    </row>
    <row r="73" spans="1:26" s="2651" customFormat="1">
      <c r="A73" s="2651" t="s">
        <v>2631</v>
      </c>
      <c r="G73" s="2652"/>
      <c r="I73" s="2653"/>
      <c r="J73" s="2653"/>
      <c r="K73" s="2653"/>
      <c r="L73" s="2653"/>
      <c r="N73" s="2654"/>
      <c r="O73" s="2653"/>
      <c r="P73" s="2653"/>
      <c r="Q73" s="2653"/>
      <c r="S73" s="2654"/>
      <c r="T73" s="2653"/>
      <c r="U73" s="2653"/>
      <c r="V73" s="2653"/>
    </row>
    <row r="74" spans="1:26" s="2651" customFormat="1">
      <c r="A74" s="2651" t="s">
        <v>2632</v>
      </c>
      <c r="G74" s="2652"/>
      <c r="N74" s="2652"/>
      <c r="S74" s="2652"/>
    </row>
    <row r="81" spans="7:22" ht="13.5" thickBot="1"/>
    <row r="82" spans="7:22">
      <c r="G82" s="2577"/>
      <c r="S82" s="2655" t="s">
        <v>2633</v>
      </c>
      <c r="T82" s="2656" t="s">
        <v>2634</v>
      </c>
      <c r="U82" s="2656" t="s">
        <v>2635</v>
      </c>
      <c r="V82" s="2656" t="s">
        <v>2636</v>
      </c>
    </row>
    <row r="83" spans="7:22">
      <c r="G83" s="2577"/>
      <c r="N83" s="2581"/>
      <c r="O83" s="2582"/>
      <c r="P83" s="2582"/>
      <c r="Q83" s="2582"/>
      <c r="S83" s="2657">
        <v>2006</v>
      </c>
      <c r="T83" s="2658">
        <v>15.1</v>
      </c>
      <c r="U83" s="2658">
        <v>7.43</v>
      </c>
      <c r="V83" s="2658">
        <v>26.26</v>
      </c>
    </row>
    <row r="84" spans="7:22">
      <c r="G84" s="2577"/>
      <c r="N84" s="2581"/>
      <c r="O84" s="2582"/>
      <c r="P84" s="2582"/>
      <c r="Q84" s="2582"/>
      <c r="S84" s="2660">
        <v>2005</v>
      </c>
      <c r="T84" s="2659">
        <v>13.9</v>
      </c>
      <c r="U84" s="2659">
        <v>7.49</v>
      </c>
      <c r="V84" s="2659">
        <v>24.92</v>
      </c>
    </row>
    <row r="85" spans="7:22">
      <c r="G85" s="2577"/>
      <c r="N85" s="2581"/>
      <c r="O85" s="2582"/>
      <c r="P85" s="2582"/>
      <c r="Q85" s="2582"/>
      <c r="S85" s="2657">
        <v>2004</v>
      </c>
      <c r="T85" s="2658">
        <v>9.48</v>
      </c>
      <c r="U85" s="2658">
        <v>7.2</v>
      </c>
      <c r="V85" s="2658">
        <v>14.68</v>
      </c>
    </row>
    <row r="86" spans="7:22">
      <c r="G86" s="2577"/>
      <c r="N86" s="2581"/>
      <c r="O86" s="2582"/>
      <c r="P86" s="2582"/>
      <c r="Q86" s="2582"/>
      <c r="S86" s="2660">
        <v>2003</v>
      </c>
      <c r="T86" s="2659">
        <v>4.5</v>
      </c>
      <c r="U86" s="2659">
        <v>6.12</v>
      </c>
      <c r="V86" s="2659">
        <v>2.34</v>
      </c>
    </row>
    <row r="87" spans="7:22" ht="13.5" thickBot="1">
      <c r="G87" s="2577"/>
      <c r="N87" s="2581"/>
      <c r="O87" s="2582"/>
      <c r="P87" s="2582"/>
      <c r="Q87" s="2582"/>
      <c r="S87" s="2661">
        <v>2002</v>
      </c>
      <c r="T87" s="2662">
        <v>3.59</v>
      </c>
      <c r="U87" s="2662">
        <v>4.54</v>
      </c>
      <c r="V87" s="2662">
        <v>2.5499999999999998</v>
      </c>
    </row>
    <row r="88" spans="7:22">
      <c r="G88" s="2577"/>
      <c r="N88" s="2581"/>
      <c r="O88" s="2582"/>
      <c r="P88" s="2582"/>
      <c r="Q88" s="2582"/>
    </row>
    <row r="89" spans="7:22">
      <c r="G89" s="2577"/>
      <c r="N89" s="2581"/>
      <c r="O89" s="2582"/>
      <c r="P89" s="2582"/>
      <c r="Q89" s="2582"/>
    </row>
    <row r="90" spans="7:22">
      <c r="G90" s="2577"/>
      <c r="N90" s="2581"/>
      <c r="O90" s="2582"/>
      <c r="P90" s="2582"/>
      <c r="Q90" s="2582"/>
    </row>
    <row r="91" spans="7:22">
      <c r="G91" s="2577"/>
      <c r="N91" s="2581"/>
      <c r="O91" s="2582"/>
      <c r="P91" s="2582"/>
      <c r="Q91" s="2582"/>
    </row>
    <row r="92" spans="7:22">
      <c r="G92" s="2577"/>
      <c r="N92" s="2581"/>
      <c r="O92" s="2582"/>
      <c r="P92" s="2582"/>
      <c r="Q92" s="2582"/>
    </row>
    <row r="93" spans="7:22">
      <c r="G93" s="2577"/>
      <c r="N93" s="2581"/>
      <c r="O93" s="2582"/>
      <c r="P93" s="2582"/>
      <c r="Q93" s="2582"/>
    </row>
    <row r="94" spans="7:22">
      <c r="G94" s="2577"/>
      <c r="N94" s="2581"/>
      <c r="O94" s="2582"/>
      <c r="P94" s="2582"/>
      <c r="Q94" s="2582"/>
    </row>
    <row r="95" spans="7:22">
      <c r="G95" s="2577"/>
      <c r="N95" s="2581"/>
      <c r="O95" s="2582"/>
      <c r="P95" s="2582"/>
      <c r="Q95" s="2582"/>
    </row>
    <row r="96" spans="7:22">
      <c r="G96" s="2577"/>
      <c r="N96" s="2581"/>
      <c r="O96" s="2582"/>
      <c r="P96" s="2582"/>
      <c r="Q96" s="2582"/>
    </row>
    <row r="97" spans="7:19">
      <c r="G97" s="2577"/>
      <c r="N97" s="2581"/>
      <c r="O97" s="2582"/>
      <c r="P97" s="2582"/>
      <c r="Q97" s="2582"/>
    </row>
    <row r="98" spans="7:19">
      <c r="G98" s="2577"/>
      <c r="N98" s="2581"/>
      <c r="O98" s="2582"/>
      <c r="P98" s="2582"/>
      <c r="Q98" s="2582"/>
      <c r="S98" s="2577"/>
    </row>
    <row r="99" spans="7:19">
      <c r="G99" s="2577"/>
      <c r="N99" s="2581"/>
      <c r="O99" s="2582"/>
      <c r="P99" s="2582"/>
      <c r="Q99" s="2582"/>
      <c r="S99" s="2577"/>
    </row>
    <row r="100" spans="7:19">
      <c r="G100" s="2577"/>
      <c r="N100" s="2581"/>
      <c r="O100" s="2582"/>
      <c r="P100" s="2582"/>
      <c r="Q100" s="2582"/>
      <c r="S100" s="2577"/>
    </row>
    <row r="101" spans="7:19">
      <c r="G101" s="2577"/>
      <c r="N101" s="2581"/>
      <c r="O101" s="2582"/>
      <c r="P101" s="2582"/>
      <c r="Q101" s="2582"/>
      <c r="S101" s="2577"/>
    </row>
    <row r="102" spans="7:19">
      <c r="G102" s="2577"/>
      <c r="N102" s="2581"/>
      <c r="O102" s="2582"/>
      <c r="P102" s="2582"/>
      <c r="Q102" s="2582"/>
      <c r="S102" s="2577"/>
    </row>
    <row r="103" spans="7:19">
      <c r="G103" s="2577"/>
      <c r="N103" s="2581"/>
      <c r="O103" s="2582"/>
      <c r="P103" s="2582"/>
      <c r="Q103" s="2582"/>
      <c r="S103" s="257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H38" sqref="A32:H38"/>
    </sheetView>
  </sheetViews>
  <sheetFormatPr defaultColWidth="9"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832" t="s">
        <v>1724</v>
      </c>
      <c r="B1" s="738"/>
      <c r="C1" s="773" t="s">
        <v>3034</v>
      </c>
      <c r="D1" s="3041" t="s">
        <v>3119</v>
      </c>
      <c r="E1" s="2308" t="s">
        <v>2370</v>
      </c>
      <c r="F1" s="2309">
        <f ca="1">J53</f>
        <v>-3</v>
      </c>
      <c r="G1" s="774">
        <f>MATCH(C1,'数据-取费表'!A6:A16,0)+5</f>
        <v>7</v>
      </c>
      <c r="H1" s="1948"/>
      <c r="I1" s="1949"/>
      <c r="J1" s="1949"/>
      <c r="K1" s="1950"/>
      <c r="L1" s="1949"/>
      <c r="M1" s="1949"/>
      <c r="N1" s="1951"/>
      <c r="O1" s="1951"/>
      <c r="P1" s="1951"/>
      <c r="Q1" s="2313"/>
      <c r="R1" s="1951"/>
      <c r="S1" s="1951"/>
      <c r="T1" s="1951"/>
      <c r="U1" s="1951"/>
      <c r="V1" s="1951"/>
      <c r="W1" s="1951"/>
      <c r="X1" s="1951"/>
      <c r="Y1" s="1951"/>
      <c r="Z1" s="1951"/>
      <c r="AA1" s="1951"/>
      <c r="AB1" s="1951"/>
      <c r="AC1" s="1951"/>
      <c r="AD1" s="1951"/>
      <c r="AE1" s="1951"/>
      <c r="AF1" s="1951"/>
      <c r="AG1" s="1951"/>
    </row>
    <row r="2" spans="1:33" ht="18" customHeight="1">
      <c r="A2" s="423" t="s">
        <v>1725</v>
      </c>
      <c r="B2" s="775" t="e">
        <f ca="1">C40+J29+L46</f>
        <v>#DIV/0!</v>
      </c>
      <c r="C2" s="1955"/>
      <c r="D2" s="1953"/>
      <c r="E2" s="1954"/>
      <c r="F2" s="1954"/>
      <c r="G2" s="1591"/>
      <c r="H2" s="1955"/>
      <c r="I2" s="1955"/>
      <c r="J2" s="1955"/>
      <c r="K2" s="1956"/>
      <c r="L2" s="1955"/>
      <c r="M2" s="1955"/>
    </row>
    <row r="3" spans="1:33" ht="18" customHeight="1" thickBot="1">
      <c r="A3" s="833" t="s">
        <v>1726</v>
      </c>
      <c r="B3" s="834">
        <f ca="1">IF(ISERROR(B2*10000/F43),0,ROUND(B2*10000/F43,0))</f>
        <v>0</v>
      </c>
      <c r="C3" s="1955"/>
      <c r="D3" s="1953"/>
      <c r="E3" s="1954"/>
      <c r="F3" s="1954"/>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2454</v>
      </c>
      <c r="C5" s="55">
        <f ca="1">C6+C10+C12</f>
        <v>0</v>
      </c>
      <c r="D5" s="2415" t="s">
        <v>2457</v>
      </c>
      <c r="E5" s="2409"/>
      <c r="F5" s="2410"/>
      <c r="G5" s="1593"/>
      <c r="H5" s="781">
        <v>1</v>
      </c>
      <c r="I5" s="782" t="s">
        <v>2454</v>
      </c>
      <c r="J5" s="55">
        <f ca="1">J6+J10+J12</f>
        <v>0</v>
      </c>
      <c r="K5" s="2415" t="s">
        <v>2457</v>
      </c>
      <c r="L5" s="2409"/>
      <c r="M5" s="2410"/>
    </row>
    <row r="6" spans="1:33" ht="18" customHeight="1">
      <c r="A6" s="1735" t="s">
        <v>1823</v>
      </c>
      <c r="B6" s="3612" t="s">
        <v>2459</v>
      </c>
      <c r="C6" s="783">
        <f ca="1">ROUND(F6*F8*F7*(1-F9)/10000,0)</f>
        <v>0</v>
      </c>
      <c r="D6" s="2416" t="s">
        <v>2458</v>
      </c>
      <c r="E6" s="784" t="s">
        <v>1737</v>
      </c>
      <c r="F6" s="785">
        <f ca="1">INDIRECT("'数据-取费表'!u"&amp;$G$1)</f>
        <v>0</v>
      </c>
      <c r="G6" s="1593"/>
      <c r="H6" s="2423" t="s">
        <v>2465</v>
      </c>
      <c r="I6" s="3612" t="s">
        <v>2459</v>
      </c>
      <c r="J6" s="783">
        <f ca="1">ROUND(M6*M8*M7*(1-M9)/10000,0)</f>
        <v>0</v>
      </c>
      <c r="K6" s="341" t="s">
        <v>1736</v>
      </c>
      <c r="L6" s="784" t="s">
        <v>1737</v>
      </c>
      <c r="M6" s="785">
        <f ca="1">INDIRECT("'数据-取费表'!z"&amp;$G$1)</f>
        <v>0</v>
      </c>
    </row>
    <row r="7" spans="1:33" ht="18" customHeight="1">
      <c r="A7" s="2419"/>
      <c r="B7" s="3613"/>
      <c r="C7" s="788"/>
      <c r="D7" s="789"/>
      <c r="E7" s="784" t="s">
        <v>1738</v>
      </c>
      <c r="F7" s="785">
        <f ca="1">IF(INDIRECT("'数据-取费表'!ah"&amp;$G$1)="",INDIRECT("'数据-取费表'!k"&amp;$G$1),INDIRECT("'数据-取费表'!ah"&amp;$G$1))</f>
        <v>0</v>
      </c>
      <c r="G7" s="1593"/>
      <c r="H7" s="2408"/>
      <c r="I7" s="3613"/>
      <c r="J7" s="788"/>
      <c r="K7" s="789"/>
      <c r="L7" s="784" t="s">
        <v>1738</v>
      </c>
      <c r="M7" s="785">
        <f ca="1">F7</f>
        <v>0</v>
      </c>
    </row>
    <row r="8" spans="1:33" ht="18" customHeight="1">
      <c r="A8" s="2412"/>
      <c r="B8" s="3614"/>
      <c r="C8" s="788"/>
      <c r="D8" s="789"/>
      <c r="E8" s="784" t="s">
        <v>1739</v>
      </c>
      <c r="F8" s="785">
        <f ca="1">INDIRECT("'数据-取费表'!ai"&amp;$G$1)</f>
        <v>0</v>
      </c>
      <c r="G8" s="1593"/>
      <c r="H8" s="2408"/>
      <c r="I8" s="3614"/>
      <c r="J8" s="788"/>
      <c r="K8" s="789"/>
      <c r="L8" s="784" t="s">
        <v>1739</v>
      </c>
      <c r="M8" s="785">
        <f ca="1">INDIRECT("'数据-取费表'!ai"&amp;$G$1)</f>
        <v>0</v>
      </c>
    </row>
    <row r="9" spans="1:33" ht="18" customHeight="1">
      <c r="A9" s="786"/>
      <c r="B9" s="3615"/>
      <c r="C9" s="788"/>
      <c r="D9" s="789"/>
      <c r="E9" s="784" t="s">
        <v>1740</v>
      </c>
      <c r="F9" s="794">
        <f ca="1">INDIRECT("'数据-取费表'!w"&amp;$G$1)</f>
        <v>0</v>
      </c>
      <c r="G9" s="1593"/>
      <c r="H9" s="2424"/>
      <c r="I9" s="3614"/>
      <c r="J9" s="788"/>
      <c r="K9" s="789"/>
      <c r="L9" s="795" t="s">
        <v>1740</v>
      </c>
      <c r="M9" s="796">
        <f ca="1">INDIRECT("'数据-取费表'!ab"&amp;$G$1)</f>
        <v>0</v>
      </c>
    </row>
    <row r="10" spans="1:33" ht="18" customHeight="1">
      <c r="A10" s="1735" t="s">
        <v>2463</v>
      </c>
      <c r="B10" s="2413" t="s">
        <v>2455</v>
      </c>
      <c r="C10" s="799">
        <f ca="1">ROUND(IF(F10="押一",F6*F8*F7/12*F11,IF(F10="押二",F6*F8*F7/12*2*F11,IF(F10="押三",F6*F8*F7/12*3*F11,C11*F11)))/10000,0)</f>
        <v>0</v>
      </c>
      <c r="D10" s="2420" t="s">
        <v>2462</v>
      </c>
      <c r="E10" s="2417" t="s">
        <v>2460</v>
      </c>
      <c r="F10" s="2540" t="s">
        <v>3120</v>
      </c>
      <c r="G10" s="1593"/>
      <c r="H10" s="2480" t="s">
        <v>2466</v>
      </c>
      <c r="I10" s="2485" t="s">
        <v>2455</v>
      </c>
      <c r="J10" s="783">
        <f ca="1">ROUND(IF(M10="押一",M6*M8*M7/12*M11,IF(M10="押二",M6*M8*M7/12*2*M11,IF(M10="押三",M6*M8*M7/12*3*M11,J11*M11)))/10000,0)</f>
        <v>0</v>
      </c>
      <c r="K10" s="2420" t="s">
        <v>2462</v>
      </c>
      <c r="L10" s="2417" t="s">
        <v>2460</v>
      </c>
      <c r="M10" s="2540"/>
    </row>
    <row r="11" spans="1:33" ht="18" customHeight="1">
      <c r="A11" s="790"/>
      <c r="B11" s="2414" t="s">
        <v>2570</v>
      </c>
      <c r="C11" s="2418"/>
      <c r="D11" s="789"/>
      <c r="E11" s="2417" t="s">
        <v>2461</v>
      </c>
      <c r="F11" s="796">
        <f ca="1">'数据-取费表'!B39</f>
        <v>1.4999999999999999E-2</v>
      </c>
      <c r="G11" s="1593"/>
      <c r="H11" s="2481"/>
      <c r="I11" s="2414" t="s">
        <v>2570</v>
      </c>
      <c r="J11" s="2418"/>
      <c r="K11" s="2482"/>
      <c r="L11" s="2417" t="s">
        <v>2461</v>
      </c>
      <c r="M11" s="2411">
        <f ca="1">'数据-取费表'!B39</f>
        <v>1.4999999999999999E-2</v>
      </c>
    </row>
    <row r="12" spans="1:33" ht="18" customHeight="1" thickBot="1">
      <c r="A12" s="2456" t="s">
        <v>2464</v>
      </c>
      <c r="B12" s="2457" t="s">
        <v>2456</v>
      </c>
      <c r="C12" s="2458"/>
      <c r="D12" s="2459"/>
      <c r="E12" s="2460"/>
      <c r="F12" s="2461"/>
      <c r="G12" s="1593"/>
      <c r="H12" s="2470" t="s">
        <v>2467</v>
      </c>
      <c r="I12" s="2483" t="s">
        <v>2456</v>
      </c>
      <c r="J12" s="2484"/>
      <c r="K12" s="2459"/>
      <c r="L12" s="2460"/>
      <c r="M12" s="2473"/>
    </row>
    <row r="13" spans="1:33" ht="18" customHeight="1" thickTop="1">
      <c r="A13" s="1734">
        <v>2</v>
      </c>
      <c r="B13" s="1732" t="s">
        <v>1741</v>
      </c>
      <c r="C13" s="792">
        <f ca="1">ROUND(C29*F13,0)</f>
        <v>0</v>
      </c>
      <c r="D13" s="1739" t="s">
        <v>2295</v>
      </c>
      <c r="E13" s="1739" t="s">
        <v>1743</v>
      </c>
      <c r="F13" s="2455">
        <f ca="1">INDIRECT("'数据-取费表'!y"&amp;$G$1)</f>
        <v>0</v>
      </c>
      <c r="G13" s="1593"/>
      <c r="H13" s="1734">
        <v>2</v>
      </c>
      <c r="I13" s="1732" t="s">
        <v>1741</v>
      </c>
      <c r="J13" s="1724">
        <f ca="1">ROUND(J14*J15,0)</f>
        <v>0</v>
      </c>
      <c r="K13" s="1726" t="s">
        <v>1742</v>
      </c>
      <c r="L13" s="2471"/>
      <c r="M13" s="2472"/>
    </row>
    <row r="14" spans="1:33" ht="18" customHeight="1">
      <c r="A14" s="1649" t="s">
        <v>1883</v>
      </c>
      <c r="B14" s="784" t="s">
        <v>643</v>
      </c>
      <c r="C14" s="804">
        <f ca="1">INDIRECT("'数据-取费表'!m"&amp;$G$1)+INDIRECT("'数据-取费表'!t"&amp;$G$1)</f>
        <v>0</v>
      </c>
      <c r="D14" s="1877" t="s">
        <v>1744</v>
      </c>
      <c r="E14" s="1878"/>
      <c r="F14" s="805"/>
      <c r="G14" s="1593"/>
      <c r="H14" s="1650" t="s">
        <v>1829</v>
      </c>
      <c r="I14" s="2129" t="s">
        <v>2825</v>
      </c>
      <c r="J14" s="53">
        <f ca="1">C29</f>
        <v>0</v>
      </c>
      <c r="K14" s="26"/>
      <c r="L14" s="801"/>
      <c r="M14" s="802"/>
    </row>
    <row r="15" spans="1:33" s="1962" customFormat="1" ht="18" customHeight="1" thickBot="1">
      <c r="A15" s="1649" t="s">
        <v>1884</v>
      </c>
      <c r="B15" s="784" t="s">
        <v>645</v>
      </c>
      <c r="C15" s="53">
        <f ca="1">ROUND(C14*F15,0)</f>
        <v>0</v>
      </c>
      <c r="D15" s="806" t="s">
        <v>1745</v>
      </c>
      <c r="E15" s="806" t="s">
        <v>1746</v>
      </c>
      <c r="F15" s="807">
        <f>'数据-取费表'!B33</f>
        <v>0.05</v>
      </c>
      <c r="G15" s="1594"/>
      <c r="H15" s="2470" t="s">
        <v>1888</v>
      </c>
      <c r="I15" s="2465" t="s">
        <v>1743</v>
      </c>
      <c r="J15" s="2474">
        <f ca="1">INDIRECT("'数据-取费表'!ad"&amp;$G$1)</f>
        <v>0</v>
      </c>
      <c r="K15" s="2475"/>
      <c r="L15" s="2476"/>
      <c r="M15" s="2477"/>
      <c r="N15" s="1961"/>
      <c r="O15" s="1961"/>
      <c r="P15" s="1961"/>
      <c r="Q15" s="2314"/>
      <c r="R15" s="1961"/>
      <c r="S15" s="1961"/>
      <c r="T15" s="1961"/>
      <c r="U15" s="1961"/>
      <c r="V15" s="1961"/>
      <c r="W15" s="1961"/>
      <c r="X15" s="1961"/>
      <c r="Y15" s="1961"/>
      <c r="Z15" s="1961"/>
      <c r="AA15" s="1961"/>
      <c r="AB15" s="1961"/>
      <c r="AC15" s="1961"/>
      <c r="AD15" s="1961"/>
      <c r="AE15" s="1961"/>
      <c r="AF15" s="1961"/>
      <c r="AG15" s="1961"/>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734" t="s">
        <v>1747</v>
      </c>
      <c r="I16" s="1732" t="s">
        <v>1748</v>
      </c>
      <c r="J16" s="792">
        <f ca="1">ROUND(J17+J22+J23+J24,0)</f>
        <v>0</v>
      </c>
      <c r="K16" s="1726" t="s">
        <v>1749</v>
      </c>
      <c r="L16" s="2405"/>
      <c r="M16" s="2410"/>
    </row>
    <row r="17" spans="1:33" s="1962"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404" t="s">
        <v>1752</v>
      </c>
      <c r="L17" s="2403" t="s">
        <v>1753</v>
      </c>
      <c r="M17" s="810" t="str">
        <f ca="1">IF(项目基本情况!B11="企业","",IF(INDIRECT("'数据-取费表'!c"&amp;$G$1)="住宅",5%,IF(M6*M7*M8/12/(1+'数据-取费表'!C42)&gt;20000,12%,7%)))</f>
        <v/>
      </c>
      <c r="N17" s="1961"/>
      <c r="O17" s="1961"/>
      <c r="P17" s="1961"/>
      <c r="Q17" s="231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403" t="s">
        <v>1755</v>
      </c>
      <c r="L18" s="784" t="s">
        <v>1746</v>
      </c>
      <c r="M18" s="809">
        <f>'数据-取费表'!B41</f>
        <v>5.6000000000000001E-2</v>
      </c>
      <c r="N18" s="1961"/>
      <c r="O18" s="1961"/>
      <c r="P18" s="1961"/>
      <c r="Q18" s="2314"/>
      <c r="R18" s="1961"/>
      <c r="S18" s="1961"/>
      <c r="T18" s="1961"/>
      <c r="U18" s="1961"/>
      <c r="V18" s="1961"/>
      <c r="W18" s="1961"/>
      <c r="X18" s="1961"/>
      <c r="Y18" s="1961"/>
      <c r="Z18" s="1961"/>
      <c r="AA18" s="1961"/>
      <c r="AB18" s="1961"/>
      <c r="AC18" s="1961"/>
      <c r="AD18" s="1961"/>
      <c r="AE18" s="1961"/>
      <c r="AF18" s="1961"/>
      <c r="AG18" s="1961"/>
    </row>
    <row r="19" spans="1:33" ht="18" customHeight="1">
      <c r="A19" s="1650" t="s">
        <v>1829</v>
      </c>
      <c r="B19" s="784" t="s">
        <v>660</v>
      </c>
      <c r="C19" s="53">
        <f ca="1">SUM(C14:C18)</f>
        <v>0</v>
      </c>
      <c r="D19" s="261" t="s">
        <v>1756</v>
      </c>
      <c r="E19" s="1880"/>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1962" customFormat="1" ht="18" customHeight="1">
      <c r="A20" s="1650" t="s">
        <v>1888</v>
      </c>
      <c r="B20" s="784" t="s">
        <v>664</v>
      </c>
      <c r="C20" s="53">
        <f ca="1">ROUND(C19*F20,0)</f>
        <v>0</v>
      </c>
      <c r="D20" s="812" t="s">
        <v>1758</v>
      </c>
      <c r="E20" s="784" t="s">
        <v>1746</v>
      </c>
      <c r="F20" s="809">
        <f>'数据-取费表'!B37</f>
        <v>1.4999999999999999E-2</v>
      </c>
      <c r="G20" s="1594"/>
      <c r="H20" s="1652" t="s">
        <v>1879</v>
      </c>
      <c r="I20" s="341" t="s">
        <v>1759</v>
      </c>
      <c r="J20" s="54">
        <f ca="1">ROUND(M20*M21/10000,0)</f>
        <v>0</v>
      </c>
      <c r="K20" s="814" t="s">
        <v>1760</v>
      </c>
      <c r="L20" s="784" t="s">
        <v>1761</v>
      </c>
      <c r="M20" s="640">
        <f>'数据-取费表'!B52</f>
        <v>8</v>
      </c>
      <c r="N20" s="1961"/>
      <c r="O20" s="1961"/>
      <c r="P20" s="1961"/>
      <c r="Q20" s="231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650" t="s">
        <v>1889</v>
      </c>
      <c r="B21" s="784" t="s">
        <v>1762</v>
      </c>
      <c r="C21" s="53" t="s">
        <v>1763</v>
      </c>
      <c r="D21" s="812" t="s">
        <v>2296</v>
      </c>
      <c r="E21" s="784" t="s">
        <v>1764</v>
      </c>
      <c r="F21" s="809">
        <f>'数据-取费表'!B38</f>
        <v>0.03</v>
      </c>
      <c r="G21" s="1594"/>
      <c r="H21" s="2425"/>
      <c r="I21" s="793"/>
      <c r="J21" s="69"/>
      <c r="K21" s="816"/>
      <c r="L21" s="784" t="s">
        <v>1765</v>
      </c>
      <c r="M21" s="785">
        <f ca="1">INDIRECT("'数据-取费表'!r"&amp;$G$1)</f>
        <v>0</v>
      </c>
      <c r="N21" s="1961"/>
      <c r="O21" s="1961"/>
      <c r="P21" s="1961"/>
      <c r="Q21" s="2314"/>
      <c r="R21" s="1961"/>
      <c r="S21" s="1961"/>
      <c r="T21" s="1961"/>
      <c r="U21" s="1961"/>
      <c r="V21" s="1961"/>
      <c r="W21" s="1961"/>
      <c r="X21" s="1961"/>
      <c r="Y21" s="1961"/>
      <c r="Z21" s="1961"/>
      <c r="AA21" s="1961"/>
      <c r="AB21" s="1961"/>
      <c r="AC21" s="1961"/>
      <c r="AD21" s="1961"/>
      <c r="AE21" s="1961"/>
      <c r="AF21" s="1961"/>
      <c r="AG21" s="1961"/>
    </row>
    <row r="22" spans="1:33" ht="18" customHeight="1">
      <c r="A22" s="1650" t="s">
        <v>1890</v>
      </c>
      <c r="B22" s="784" t="s">
        <v>1766</v>
      </c>
      <c r="C22" s="53"/>
      <c r="D22" s="2491" t="str">
        <f>IF(F23&lt;=1,"单利计息。","复利计息。")&amp;"建造成本、管理费用、销售费用产生的利息。"</f>
        <v>复利计息。建造成本、管理费用、销售费用产生的利息。</v>
      </c>
      <c r="E22" s="1880"/>
      <c r="F22" s="56"/>
      <c r="G22" s="1593"/>
      <c r="H22" s="1650" t="s">
        <v>1888</v>
      </c>
      <c r="I22" s="784" t="s">
        <v>1767</v>
      </c>
      <c r="J22" s="53">
        <f ca="1">ROUND(J14*M22,0)</f>
        <v>0</v>
      </c>
      <c r="K22" s="2403" t="s">
        <v>1768</v>
      </c>
      <c r="L22" s="784" t="s">
        <v>1746</v>
      </c>
      <c r="M22" s="817">
        <f ca="1">INDIRECT("'数据-取费表'!Ak"&amp;$G$1)</f>
        <v>0</v>
      </c>
    </row>
    <row r="23" spans="1:33" s="1962" customFormat="1" ht="18" customHeight="1">
      <c r="A23" s="1649" t="s">
        <v>1830</v>
      </c>
      <c r="B23" s="784" t="s">
        <v>2532</v>
      </c>
      <c r="C23" s="53">
        <f ca="1">ROUND(IF('数据-取费表'!B22&lt;=1,(C19+C20)*F24*F23/2,(C19+C20)*(POWER((1+F24),F23/2)-1)),0)</f>
        <v>0</v>
      </c>
      <c r="D23" s="2490" t="str">
        <f>IF(F23&lt;=1,"(建造成本+管理费用)×利率×(建设周期÷2)","(建造成本+管理费用)×((1+利率)^(建设周期÷2)-1)")</f>
        <v>(建造成本+管理费用)×((1+利率)^(建设周期÷2)-1)</v>
      </c>
      <c r="E23" s="784" t="s">
        <v>1769</v>
      </c>
      <c r="F23" s="640">
        <f>'数据-取费表'!B20</f>
        <v>3</v>
      </c>
      <c r="G23" s="1594"/>
      <c r="H23" s="1650" t="s">
        <v>1889</v>
      </c>
      <c r="I23" s="784" t="s">
        <v>677</v>
      </c>
      <c r="J23" s="53">
        <f ca="1">ROUND(J13*M23,0)</f>
        <v>0</v>
      </c>
      <c r="K23" s="2403" t="s">
        <v>1770</v>
      </c>
      <c r="L23" s="784" t="s">
        <v>1746</v>
      </c>
      <c r="M23" s="818">
        <f ca="1">INDIRECT("'数据-取费表'!Al"&amp;$G$1)</f>
        <v>0</v>
      </c>
      <c r="N23" s="1961"/>
      <c r="O23" s="1961"/>
      <c r="P23" s="1961"/>
      <c r="Q23" s="231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649" t="s">
        <v>1831</v>
      </c>
      <c r="B24" s="784" t="s">
        <v>1771</v>
      </c>
      <c r="C24" s="53">
        <f ca="1">ROUND(IF('数据-取费表'!B22&lt;=1,F21*F24*F23/2,F21*(POWER((1+F24),F23/2)-1)),4)</f>
        <v>2.2000000000000001E-3</v>
      </c>
      <c r="D24" s="2490" t="str">
        <f>IF(F23&lt;=1,"销售费用×利率×(建设周期÷2)","销售费用×((1+利率)^(建设周期÷2)-1)")</f>
        <v>销售费用×((1+利率)^(建设周期÷2)-1)</v>
      </c>
      <c r="E24" s="784" t="s">
        <v>1772</v>
      </c>
      <c r="F24" s="819">
        <f ca="1">'数据-取费表'!B40</f>
        <v>4.7500000000000001E-2</v>
      </c>
      <c r="G24" s="1594"/>
      <c r="H24" s="2470" t="s">
        <v>1890</v>
      </c>
      <c r="I24" s="2465" t="s">
        <v>664</v>
      </c>
      <c r="J24" s="2463">
        <f ca="1">ROUND(J5*M24,0)</f>
        <v>0</v>
      </c>
      <c r="K24" s="2464" t="s">
        <v>1773</v>
      </c>
      <c r="L24" s="2465" t="s">
        <v>1746</v>
      </c>
      <c r="M24" s="2461">
        <f ca="1">INDIRECT("'数据-取费表'!Am"&amp;$G$1)</f>
        <v>0</v>
      </c>
      <c r="N24" s="1961"/>
      <c r="O24" s="1961"/>
      <c r="P24" s="1961"/>
      <c r="Q24" s="2314"/>
      <c r="R24" s="1961"/>
      <c r="S24" s="1961"/>
      <c r="T24" s="1961"/>
      <c r="U24" s="1961"/>
      <c r="V24" s="1961"/>
      <c r="W24" s="1961"/>
      <c r="X24" s="1961"/>
      <c r="Y24" s="1961"/>
      <c r="Z24" s="1961"/>
      <c r="AA24" s="1961"/>
      <c r="AB24" s="1961"/>
      <c r="AC24" s="1961"/>
      <c r="AD24" s="1961"/>
      <c r="AE24" s="1961"/>
      <c r="AF24" s="1961"/>
      <c r="AG24" s="1961"/>
    </row>
    <row r="25" spans="1:33" ht="18" customHeight="1" thickTop="1">
      <c r="A25" s="1651" t="s">
        <v>1839</v>
      </c>
      <c r="B25" s="784" t="s">
        <v>682</v>
      </c>
      <c r="C25" s="53"/>
      <c r="D25" s="261" t="s">
        <v>1774</v>
      </c>
      <c r="E25" s="1880"/>
      <c r="F25" s="56"/>
      <c r="G25" s="1593"/>
      <c r="H25" s="1734" t="s">
        <v>1775</v>
      </c>
      <c r="I25" s="2925" t="s">
        <v>2821</v>
      </c>
      <c r="J25" s="792">
        <f ca="1">J5-J16</f>
        <v>0</v>
      </c>
      <c r="K25" s="2467" t="s">
        <v>1776</v>
      </c>
      <c r="L25" s="2468"/>
      <c r="M25" s="2469"/>
    </row>
    <row r="26" spans="1:33" ht="18" customHeight="1">
      <c r="A26" s="1649" t="s">
        <v>1830</v>
      </c>
      <c r="B26" s="784" t="s">
        <v>2434</v>
      </c>
      <c r="C26" s="53">
        <f ca="1">ROUND((C19+C20)*F26,0)</f>
        <v>0</v>
      </c>
      <c r="D26" s="812" t="s">
        <v>1777</v>
      </c>
      <c r="E26" s="795" t="s">
        <v>1778</v>
      </c>
      <c r="F26" s="794">
        <f ca="1">INDIRECT("'数据-取费表'!q"&amp;$G$1)</f>
        <v>0</v>
      </c>
      <c r="G26" s="1593"/>
      <c r="H26" s="2421" t="s">
        <v>1779</v>
      </c>
      <c r="I26" s="2130" t="s">
        <v>2826</v>
      </c>
      <c r="J26" s="783">
        <f ca="1">IF(J5&lt;&gt;0,ROUND(J25*(1-((1+M28)/(1+M26))^M27)/(M26-M28),0),0)</f>
        <v>0</v>
      </c>
      <c r="K26" s="814" t="s">
        <v>1780</v>
      </c>
      <c r="L26" s="784" t="s">
        <v>2415</v>
      </c>
      <c r="M26" s="794">
        <f ca="1">INDIRECT("'数据-取费表'!I"&amp;$G$1)</f>
        <v>0</v>
      </c>
    </row>
    <row r="27" spans="1:33" ht="18" customHeight="1">
      <c r="A27" s="1649" t="s">
        <v>1831</v>
      </c>
      <c r="B27" s="784" t="s">
        <v>684</v>
      </c>
      <c r="C27" s="53">
        <f ca="1">ROUND(F21*F26,4)</f>
        <v>0</v>
      </c>
      <c r="D27" s="812" t="s">
        <v>1781</v>
      </c>
      <c r="E27" s="806"/>
      <c r="F27" s="807"/>
      <c r="G27" s="1593"/>
      <c r="H27" s="2422"/>
      <c r="I27" s="787"/>
      <c r="J27" s="788"/>
      <c r="K27" s="821" t="s">
        <v>1782</v>
      </c>
      <c r="L27" s="784" t="s">
        <v>1783</v>
      </c>
      <c r="M27" s="822">
        <f ca="1">INDIRECT("'数据-取费表'!ag"&amp;$G$1)</f>
        <v>0</v>
      </c>
    </row>
    <row r="28" spans="1:33" s="1962" customFormat="1" ht="18" customHeight="1">
      <c r="A28" s="1651" t="s">
        <v>1840</v>
      </c>
      <c r="B28" s="784" t="s">
        <v>685</v>
      </c>
      <c r="C28" s="53">
        <f>ROUND(F28/(1+'数据-取费表'!C42),4)</f>
        <v>5.33E-2</v>
      </c>
      <c r="D28" s="812" t="s">
        <v>2297</v>
      </c>
      <c r="E28" s="784" t="s">
        <v>1784</v>
      </c>
      <c r="F28" s="809">
        <f>'数据-取费表'!B41</f>
        <v>5.6000000000000001E-2</v>
      </c>
      <c r="G28" s="1594"/>
      <c r="H28" s="1734"/>
      <c r="I28" s="791"/>
      <c r="J28" s="792"/>
      <c r="K28" s="816"/>
      <c r="L28" s="784" t="s">
        <v>1785</v>
      </c>
      <c r="M28" s="794">
        <f ca="1">INDIRECT("'数据-取费表'!aa"&amp;$G$1)</f>
        <v>0</v>
      </c>
      <c r="N28" s="1961"/>
      <c r="O28" s="1961"/>
      <c r="P28" s="1961"/>
      <c r="Q28" s="231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62" t="s">
        <v>1891</v>
      </c>
      <c r="B29" s="2460" t="s">
        <v>2298</v>
      </c>
      <c r="C29" s="2463">
        <f ca="1">ROUND((C19+C20+C23+C26)/(1-F21-C24-C27-C28),0)</f>
        <v>0</v>
      </c>
      <c r="D29" s="2464"/>
      <c r="E29" s="2465"/>
      <c r="F29" s="2466"/>
      <c r="G29" s="1594"/>
      <c r="H29" s="823" t="s">
        <v>1786</v>
      </c>
      <c r="I29" s="824" t="s">
        <v>1787</v>
      </c>
      <c r="J29" s="825">
        <f ca="1">ROUND(J26/(1+F40)^F41,0)</f>
        <v>0</v>
      </c>
      <c r="K29" s="826" t="s">
        <v>1788</v>
      </c>
      <c r="L29" s="827"/>
      <c r="M29" s="828">
        <f ca="1">INDIRECT("'数据-取费表'!k"&amp;$G$1)</f>
        <v>0</v>
      </c>
      <c r="N29" s="1961"/>
      <c r="O29" s="1961"/>
      <c r="P29" s="1961"/>
      <c r="Q29" s="2314"/>
      <c r="R29" s="1961"/>
      <c r="S29" s="1961"/>
      <c r="T29" s="1961"/>
      <c r="U29" s="1961"/>
      <c r="V29" s="1961"/>
      <c r="W29" s="1961"/>
      <c r="X29" s="1961"/>
      <c r="Y29" s="1961"/>
      <c r="Z29" s="1961"/>
      <c r="AA29" s="1961"/>
      <c r="AB29" s="1961"/>
      <c r="AC29" s="1961"/>
      <c r="AD29" s="1961"/>
      <c r="AE29" s="1961"/>
      <c r="AF29" s="1961"/>
      <c r="AG29" s="1961"/>
    </row>
    <row r="30" spans="1:33" ht="18" customHeight="1" thickTop="1">
      <c r="A30" s="1734" t="s">
        <v>1892</v>
      </c>
      <c r="B30" s="1732" t="s">
        <v>1789</v>
      </c>
      <c r="C30" s="792">
        <f ca="1">ROUND(C31+C36+C37+C38,0)</f>
        <v>0</v>
      </c>
      <c r="D30" s="1726" t="s">
        <v>1790</v>
      </c>
      <c r="E30" s="2405"/>
      <c r="F30" s="2410"/>
      <c r="G30" s="1960"/>
      <c r="H30" s="1963"/>
      <c r="I30" s="1964"/>
      <c r="J30" s="1965"/>
      <c r="K30" s="1966"/>
      <c r="L30" s="1967"/>
      <c r="M30" s="1968"/>
    </row>
    <row r="31" spans="1:33" ht="18" customHeight="1">
      <c r="A31" s="1650" t="s">
        <v>1829</v>
      </c>
      <c r="B31" s="784" t="s">
        <v>654</v>
      </c>
      <c r="C31" s="53">
        <f ca="1">ROUND(IF(项目基本情况!B11="自然人",C5*F31,C32+C33+C34),1)</f>
        <v>0</v>
      </c>
      <c r="D31" s="1877" t="s">
        <v>1791</v>
      </c>
      <c r="E31" s="1875" t="s">
        <v>1792</v>
      </c>
      <c r="F31" s="810" t="str">
        <f ca="1">IF(项目基本情况!B11="企业","",IF(INDIRECT("'数据-取费表'!c"&amp;$G$1)="住宅",5%,IF(F6*F7*F8/12/(1+'数据-取费表'!C42)&gt;20000,12%,7%)))</f>
        <v/>
      </c>
      <c r="G31" s="1960"/>
      <c r="H31" s="1963"/>
      <c r="I31" s="1964"/>
      <c r="J31" s="1965"/>
      <c r="K31" s="1966"/>
      <c r="L31" s="1967"/>
      <c r="M31" s="1968"/>
    </row>
    <row r="32" spans="1:33" ht="18" customHeight="1">
      <c r="A32" s="1649" t="s">
        <v>1830</v>
      </c>
      <c r="B32" s="784" t="s">
        <v>1793</v>
      </c>
      <c r="C32" s="53">
        <f ca="1">ROUND(C5*F32/1.05,1)</f>
        <v>0</v>
      </c>
      <c r="D32" s="1875" t="s">
        <v>1794</v>
      </c>
      <c r="E32" s="784" t="s">
        <v>1795</v>
      </c>
      <c r="F32" s="809">
        <f>'数据-取费表'!B41</f>
        <v>5.6000000000000001E-2</v>
      </c>
      <c r="G32" s="1960"/>
      <c r="H32" s="1969"/>
      <c r="I32" s="1970"/>
      <c r="J32" s="1971"/>
      <c r="K32" s="1972"/>
      <c r="L32" s="1973"/>
      <c r="M32" s="1974"/>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1960"/>
      <c r="H33" s="1975"/>
      <c r="I33" s="1975"/>
      <c r="J33" s="1975"/>
      <c r="K33" s="1976"/>
      <c r="L33" s="1975"/>
      <c r="M33" s="1975"/>
    </row>
    <row r="34" spans="1:18" ht="18" customHeight="1">
      <c r="A34" s="1652" t="s">
        <v>1832</v>
      </c>
      <c r="B34" s="341" t="s">
        <v>1797</v>
      </c>
      <c r="C34" s="54">
        <f ca="1">ROUND(F34*F35/10000,1)</f>
        <v>0</v>
      </c>
      <c r="D34" s="814" t="s">
        <v>1798</v>
      </c>
      <c r="E34" s="784" t="s">
        <v>1799</v>
      </c>
      <c r="F34" s="640">
        <f>'数据-取费表'!B52</f>
        <v>8</v>
      </c>
      <c r="G34" s="1960"/>
      <c r="H34" s="1963"/>
      <c r="I34" s="835" t="s">
        <v>1812</v>
      </c>
      <c r="J34" s="836"/>
      <c r="K34" s="1978"/>
      <c r="L34" s="1977"/>
      <c r="M34" s="1977"/>
    </row>
    <row r="35" spans="1:18" ht="18" customHeight="1">
      <c r="A35" s="815"/>
      <c r="B35" s="793"/>
      <c r="C35" s="69"/>
      <c r="D35" s="816"/>
      <c r="E35" s="784" t="s">
        <v>1800</v>
      </c>
      <c r="F35" s="785">
        <f ca="1">INDIRECT("'数据-取费表'!r"&amp;$G$1)</f>
        <v>0</v>
      </c>
      <c r="G35" s="1960"/>
      <c r="H35" s="1963"/>
      <c r="I35" s="837" t="s">
        <v>1813</v>
      </c>
      <c r="J35" s="838">
        <f ca="1">ROUND(C13*J36,0)</f>
        <v>0</v>
      </c>
      <c r="K35" s="1976"/>
      <c r="L35" s="1975"/>
      <c r="M35" s="1975"/>
    </row>
    <row r="36" spans="1:18" ht="18" customHeight="1">
      <c r="A36" s="1650" t="s">
        <v>1888</v>
      </c>
      <c r="B36" s="784" t="s">
        <v>1801</v>
      </c>
      <c r="C36" s="53">
        <f ca="1">ROUND(C29*F36,1)</f>
        <v>0</v>
      </c>
      <c r="D36" s="1875" t="s">
        <v>1802</v>
      </c>
      <c r="E36" s="784" t="s">
        <v>1795</v>
      </c>
      <c r="F36" s="817">
        <f ca="1">INDIRECT("'数据-取费表'!Ak"&amp;$G$1)</f>
        <v>0</v>
      </c>
      <c r="G36" s="1960"/>
      <c r="H36" s="1975"/>
      <c r="I36" s="839" t="s">
        <v>1814</v>
      </c>
      <c r="J36" s="840">
        <f ca="1">INDIRECT("'数据-取费表'!j"&amp;$G$1)</f>
        <v>0</v>
      </c>
      <c r="K36" s="1980"/>
      <c r="L36" s="1975"/>
      <c r="M36" s="1975"/>
    </row>
    <row r="37" spans="1:18" ht="18" customHeight="1">
      <c r="A37" s="1650" t="s">
        <v>1889</v>
      </c>
      <c r="B37" s="784" t="s">
        <v>677</v>
      </c>
      <c r="C37" s="53">
        <f ca="1">ROUND(C13*F37,1)</f>
        <v>0</v>
      </c>
      <c r="D37" s="1875" t="s">
        <v>1803</v>
      </c>
      <c r="E37" s="784" t="s">
        <v>1795</v>
      </c>
      <c r="F37" s="818">
        <f ca="1">INDIRECT("'数据-取费表'!Al"&amp;$G$1)</f>
        <v>0</v>
      </c>
      <c r="G37" s="1960"/>
      <c r="H37" s="1975"/>
      <c r="I37" s="841" t="s">
        <v>1815</v>
      </c>
      <c r="J37" s="842"/>
      <c r="K37" s="1980"/>
      <c r="L37" s="1975"/>
      <c r="M37" s="1975"/>
    </row>
    <row r="38" spans="1:18" ht="18" customHeight="1" thickBot="1">
      <c r="A38" s="2470" t="s">
        <v>1890</v>
      </c>
      <c r="B38" s="2465" t="s">
        <v>664</v>
      </c>
      <c r="C38" s="2463">
        <f ca="1">ROUND(C5*F38,1)</f>
        <v>0</v>
      </c>
      <c r="D38" s="2464" t="s">
        <v>1804</v>
      </c>
      <c r="E38" s="2465" t="s">
        <v>1795</v>
      </c>
      <c r="F38" s="2461">
        <f ca="1">INDIRECT("'数据-取费表'!Am"&amp;$G$1)</f>
        <v>0</v>
      </c>
      <c r="G38" s="1960"/>
      <c r="H38" s="1975"/>
      <c r="I38" s="843" t="s">
        <v>1816</v>
      </c>
      <c r="J38" s="844"/>
      <c r="K38" s="1981"/>
      <c r="L38" s="1975"/>
      <c r="M38" s="1975"/>
    </row>
    <row r="39" spans="1:18" ht="24.6" customHeight="1" thickTop="1">
      <c r="A39" s="1734" t="s">
        <v>1893</v>
      </c>
      <c r="B39" s="2925" t="s">
        <v>2821</v>
      </c>
      <c r="C39" s="792">
        <f ca="1">C5-C30</f>
        <v>0</v>
      </c>
      <c r="D39" s="2467" t="s">
        <v>1805</v>
      </c>
      <c r="E39" s="2468"/>
      <c r="F39" s="2469"/>
      <c r="G39" s="1960"/>
      <c r="H39" s="1975"/>
      <c r="I39" s="837" t="s">
        <v>1817</v>
      </c>
      <c r="J39" s="845" t="e">
        <f ca="1">ROUND(J35/C39,3)</f>
        <v>#DIV/0!</v>
      </c>
      <c r="K39" s="1981"/>
      <c r="L39" s="1975"/>
      <c r="M39" s="1975"/>
    </row>
    <row r="40" spans="1:18" ht="18" customHeight="1">
      <c r="A40" s="781" t="s">
        <v>1894</v>
      </c>
      <c r="B40" s="2130" t="s">
        <v>2299</v>
      </c>
      <c r="C40" s="783" t="e">
        <f ca="1">ROUND(C39*(1-((1+F42)/(1+F40))^F41)/(F40-F42),0)</f>
        <v>#DIV/0!</v>
      </c>
      <c r="D40" s="814" t="s">
        <v>1806</v>
      </c>
      <c r="E40" s="784" t="s">
        <v>2415</v>
      </c>
      <c r="F40" s="794">
        <f ca="1">INDIRECT("'数据-取费表'!I"&amp;$G$1)</f>
        <v>0</v>
      </c>
      <c r="G40" s="1960"/>
      <c r="H40" s="1960"/>
      <c r="I40" s="837" t="s">
        <v>1818</v>
      </c>
      <c r="J40" s="845" t="e">
        <f ca="1">1-J39</f>
        <v>#DIV/0!</v>
      </c>
      <c r="K40" s="1981"/>
      <c r="L40" s="1960"/>
      <c r="M40" s="1960"/>
    </row>
    <row r="41" spans="1:18" ht="18" customHeight="1">
      <c r="A41" s="786"/>
      <c r="B41" s="787"/>
      <c r="C41" s="788"/>
      <c r="D41" s="821" t="s">
        <v>1807</v>
      </c>
      <c r="E41" s="784" t="s">
        <v>2954</v>
      </c>
      <c r="F41" s="822">
        <f ca="1">IF(INDIRECT("'数据-取费表'!af"&amp;$G$1)=0,INDIRECT("'数据-取费表'!ae"&amp;$G$1),INDIRECT("'数据-取费表'!af"&amp;$G$1))</f>
        <v>0</v>
      </c>
      <c r="G41" s="1960"/>
      <c r="H41" s="1886"/>
      <c r="I41" s="843" t="s">
        <v>1819</v>
      </c>
      <c r="J41" s="846"/>
      <c r="K41" s="1980"/>
      <c r="L41" s="1886"/>
      <c r="M41" s="1886"/>
    </row>
    <row r="42" spans="1:18" ht="18" customHeight="1">
      <c r="A42" s="790"/>
      <c r="B42" s="791"/>
      <c r="C42" s="792"/>
      <c r="D42" s="816"/>
      <c r="E42" s="784" t="s">
        <v>1808</v>
      </c>
      <c r="F42" s="794">
        <f ca="1">INDIRECT("'数据-取费表'!v"&amp;$G$1)</f>
        <v>0</v>
      </c>
      <c r="G42" s="1960"/>
      <c r="H42" s="1886"/>
      <c r="I42" s="847" t="s">
        <v>1820</v>
      </c>
      <c r="J42" s="845" t="e">
        <f ca="1">ROUND(C13/C40,3)</f>
        <v>#DIV/0!</v>
      </c>
      <c r="K42" s="1980"/>
      <c r="L42" s="1886"/>
      <c r="M42" s="1886"/>
    </row>
    <row r="43" spans="1:18" ht="18" customHeight="1" thickBot="1">
      <c r="A43" s="823" t="s">
        <v>1786</v>
      </c>
      <c r="B43" s="824" t="s">
        <v>1809</v>
      </c>
      <c r="C43" s="825" t="e">
        <f ca="1">ROUND(C40*10000/F43,0)</f>
        <v>#DIV/0!</v>
      </c>
      <c r="D43" s="826" t="s">
        <v>1810</v>
      </c>
      <c r="E43" s="827" t="s">
        <v>1811</v>
      </c>
      <c r="F43" s="828">
        <f ca="1">INDIRECT("'数据-取费表'!k"&amp;$G$1)</f>
        <v>0</v>
      </c>
      <c r="G43" s="1960"/>
      <c r="H43" s="1886"/>
      <c r="I43" s="847" t="s">
        <v>1821</v>
      </c>
      <c r="J43" s="848" t="e">
        <f ca="1">1-J42</f>
        <v>#DIV/0!</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2293</v>
      </c>
      <c r="B46" s="1983"/>
      <c r="C46" s="2493" t="e">
        <f ca="1">C67-C40</f>
        <v>#DIV/0!</v>
      </c>
      <c r="D46" s="1983"/>
      <c r="E46" s="1983"/>
      <c r="F46" s="1983"/>
      <c r="I46" s="2275" t="s">
        <v>2338</v>
      </c>
      <c r="J46" s="2276"/>
      <c r="K46" s="2277"/>
      <c r="L46" s="2278" t="str">
        <f ca="1">IF(M47="住宅",0,IF(L48&gt;J51,L60,J60))</f>
        <v>0</v>
      </c>
      <c r="O46" s="2315" t="s">
        <v>2406</v>
      </c>
      <c r="P46" s="1593"/>
      <c r="Q46" s="1605"/>
      <c r="R46" s="1593"/>
    </row>
    <row r="47" spans="1:18" s="1957" customFormat="1" ht="18" customHeight="1" thickBot="1">
      <c r="A47" s="2269">
        <v>1</v>
      </c>
      <c r="B47" s="2270" t="s">
        <v>633</v>
      </c>
      <c r="C47" s="2493">
        <f ca="1">C48+C52+C54</f>
        <v>0</v>
      </c>
      <c r="D47" s="1983"/>
      <c r="E47" s="1983"/>
      <c r="F47" s="1983"/>
      <c r="I47" s="2279" t="s">
        <v>2339</v>
      </c>
      <c r="J47" s="2284" t="s">
        <v>3121</v>
      </c>
      <c r="K47" s="2285" t="s">
        <v>2345</v>
      </c>
      <c r="L47" s="2286">
        <f ca="1">INDIRECT("'数据-取费表'!d"&amp;$G$1)</f>
        <v>0</v>
      </c>
      <c r="M47" s="1605" t="str">
        <f>IF(ISNUMBER(FIND("住宅",C1)),"住宅","非住宅")</f>
        <v>非住宅</v>
      </c>
      <c r="O47" s="2316" t="s">
        <v>2371</v>
      </c>
      <c r="P47" s="2317" t="s">
        <v>2372</v>
      </c>
      <c r="Q47" s="2318" t="s">
        <v>2373</v>
      </c>
      <c r="R47" s="2317" t="s">
        <v>2374</v>
      </c>
    </row>
    <row r="48" spans="1:18" s="1957" customFormat="1" ht="18" customHeight="1" thickBot="1">
      <c r="A48" s="2561" t="s">
        <v>2534</v>
      </c>
      <c r="B48" s="2562" t="s">
        <v>2535</v>
      </c>
      <c r="C48" s="2271">
        <f ca="1">ROUND(F48*F50*F49*(1-F51)/10000,0)</f>
        <v>0</v>
      </c>
      <c r="D48" s="2272" t="s">
        <v>634</v>
      </c>
      <c r="E48" s="2273" t="s">
        <v>2294</v>
      </c>
      <c r="F48" s="2274"/>
      <c r="G48" s="1988"/>
      <c r="I48" s="2280" t="s">
        <v>2340</v>
      </c>
      <c r="J48" s="2287" t="s">
        <v>2346</v>
      </c>
      <c r="K48" s="2288" t="s">
        <v>2347</v>
      </c>
      <c r="L48" s="2289">
        <f ca="1">INDIRECT("'数据-取费表'!f"&amp;$G$1)</f>
        <v>0</v>
      </c>
      <c r="O48" s="2319" t="s">
        <v>2375</v>
      </c>
      <c r="P48" s="2320" t="s">
        <v>2401</v>
      </c>
      <c r="Q48" s="2321" t="e">
        <f ca="1">C40+J29</f>
        <v>#DIV/0!</v>
      </c>
      <c r="R48" s="2320" t="s">
        <v>2376</v>
      </c>
    </row>
    <row r="49" spans="1:18" s="1957" customFormat="1" ht="18" customHeight="1" thickBot="1">
      <c r="A49" s="786"/>
      <c r="B49" s="787"/>
      <c r="C49" s="788"/>
      <c r="D49" s="789"/>
      <c r="E49" s="784" t="s">
        <v>1738</v>
      </c>
      <c r="F49" s="785">
        <f ca="1">F7</f>
        <v>0</v>
      </c>
      <c r="G49" s="1988"/>
      <c r="H49" s="1991"/>
      <c r="I49" s="2280" t="s">
        <v>2341</v>
      </c>
      <c r="J49" s="2290"/>
      <c r="K49" s="2291" t="s">
        <v>2348</v>
      </c>
      <c r="L49" s="2292"/>
      <c r="O49" s="2319" t="s">
        <v>2377</v>
      </c>
      <c r="P49" s="2320" t="s">
        <v>2402</v>
      </c>
      <c r="Q49" s="2321" t="str">
        <f ca="1">J60</f>
        <v>0</v>
      </c>
      <c r="R49" s="2320" t="s">
        <v>2378</v>
      </c>
    </row>
    <row r="50" spans="1:18" s="1957" customFormat="1" ht="18" customHeight="1" thickBot="1">
      <c r="A50" s="786"/>
      <c r="B50" s="787"/>
      <c r="C50" s="788"/>
      <c r="D50" s="789"/>
      <c r="E50" s="784" t="s">
        <v>1739</v>
      </c>
      <c r="F50" s="785">
        <f ca="1">F8</f>
        <v>0</v>
      </c>
      <c r="G50" s="1993"/>
      <c r="H50" s="1991"/>
      <c r="I50" s="2280" t="s">
        <v>2342</v>
      </c>
      <c r="J50" s="2293">
        <f>SUMPRODUCT((I63:I65=J47)*(J62:L62=J48)*(J63:L65))</f>
        <v>60</v>
      </c>
      <c r="K50" s="2291" t="s">
        <v>2349</v>
      </c>
      <c r="L50" s="2292"/>
      <c r="O50" s="2322" t="s">
        <v>2379</v>
      </c>
      <c r="P50" s="2320" t="s">
        <v>2403</v>
      </c>
      <c r="Q50" s="2321">
        <f ca="1">C29</f>
        <v>0</v>
      </c>
      <c r="R50" s="2320" t="s">
        <v>2376</v>
      </c>
    </row>
    <row r="51" spans="1:18" s="1957" customFormat="1" ht="18" customHeight="1" thickBot="1">
      <c r="A51" s="786"/>
      <c r="B51" s="787"/>
      <c r="C51" s="788"/>
      <c r="D51" s="789"/>
      <c r="E51" s="784" t="s">
        <v>638</v>
      </c>
      <c r="F51" s="2268"/>
      <c r="H51" s="1991"/>
      <c r="I51" s="2281" t="s">
        <v>2343</v>
      </c>
      <c r="J51" s="2294">
        <f>IF(J49="",J50,J49+J50-YEAR('数据-取费表'!B2))</f>
        <v>60</v>
      </c>
      <c r="K51" s="2280" t="s">
        <v>2350</v>
      </c>
      <c r="L51" s="2295">
        <f ca="1">ROUND(-PV(INDIRECT("'数据-取费表'!h"&amp;$G$1),L48,(C39-C13*J36),0),0)</f>
        <v>0</v>
      </c>
      <c r="O51" s="2322" t="s">
        <v>2380</v>
      </c>
      <c r="P51" s="2320" t="s">
        <v>2381</v>
      </c>
      <c r="Q51" s="2323" t="e">
        <f ca="1">J58</f>
        <v>#VALUE!</v>
      </c>
      <c r="R51" s="2324"/>
    </row>
    <row r="52" spans="1:18" s="1957" customFormat="1" ht="18" customHeight="1" thickBot="1">
      <c r="A52" s="781" t="s">
        <v>2533</v>
      </c>
      <c r="B52" s="2413" t="s">
        <v>2455</v>
      </c>
      <c r="C52" s="799">
        <f ca="1">ROUND(IF(F52="押一",F48*F50*F49/12*F11,IF(F52="押二",F48*F50*F49/12*2*F11,IF(F52="押三",F48*F50*F49/12*3*F11,C53*F11)))/10000,0)</f>
        <v>0</v>
      </c>
      <c r="D52" s="2420" t="s">
        <v>2462</v>
      </c>
      <c r="E52" s="2417" t="s">
        <v>2460</v>
      </c>
      <c r="F52" s="2540"/>
      <c r="I52" s="2282" t="s">
        <v>2417</v>
      </c>
      <c r="J52" s="2296"/>
      <c r="K52" s="2282" t="s">
        <v>2416</v>
      </c>
      <c r="L52" s="2296"/>
      <c r="O52" s="2322" t="s">
        <v>2382</v>
      </c>
      <c r="P52" s="2320" t="s">
        <v>2383</v>
      </c>
      <c r="Q52" s="2323">
        <f>J52</f>
        <v>0</v>
      </c>
      <c r="R52" s="2324"/>
    </row>
    <row r="53" spans="1:18" s="1957" customFormat="1" ht="39.75" customHeight="1" thickBot="1">
      <c r="A53" s="786"/>
      <c r="B53" s="2414" t="s">
        <v>2570</v>
      </c>
      <c r="C53" s="2418"/>
      <c r="D53" s="2420"/>
      <c r="E53" s="2417"/>
      <c r="F53" s="800"/>
      <c r="I53" s="2283" t="s">
        <v>2344</v>
      </c>
      <c r="J53" s="2297">
        <f ca="1">IF(M47="住宅",J51,IF(D1="——",MIN(J51,L48),IF(D1="土地（套用方法）",MIN(J51,L48-'数据-取费表'!B20))))</f>
        <v>-3</v>
      </c>
      <c r="K53" s="3628" t="s">
        <v>2956</v>
      </c>
      <c r="L53" s="3629"/>
      <c r="O53" s="2322" t="s">
        <v>2384</v>
      </c>
      <c r="P53" s="2320" t="s">
        <v>2385</v>
      </c>
      <c r="Q53" s="2321">
        <f ca="1">J53</f>
        <v>-3</v>
      </c>
      <c r="R53" s="2320" t="s">
        <v>2386</v>
      </c>
    </row>
    <row r="54" spans="1:18" s="1957" customFormat="1" ht="18" customHeight="1" thickBot="1">
      <c r="A54" s="2456" t="s">
        <v>2464</v>
      </c>
      <c r="B54" s="2457" t="s">
        <v>2456</v>
      </c>
      <c r="C54" s="2458"/>
      <c r="D54" s="2420"/>
      <c r="E54" s="2417"/>
      <c r="F54" s="800"/>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19" t="s">
        <v>2387</v>
      </c>
      <c r="P54" s="2320" t="s">
        <v>2404</v>
      </c>
      <c r="Q54" s="2321" t="e">
        <f ca="1">Q48+Q49</f>
        <v>#DIV/0!</v>
      </c>
      <c r="R54" s="2324" t="s">
        <v>2388</v>
      </c>
    </row>
    <row r="55" spans="1:18" s="1957" customFormat="1" ht="18" customHeight="1" thickTop="1" thickBot="1">
      <c r="A55" s="797">
        <v>2</v>
      </c>
      <c r="B55" s="798" t="s">
        <v>642</v>
      </c>
      <c r="C55" s="799">
        <f ca="1">C13</f>
        <v>0</v>
      </c>
      <c r="D55" s="795"/>
      <c r="E55" s="795"/>
      <c r="F55" s="800"/>
      <c r="I55" s="3012" t="s">
        <v>2351</v>
      </c>
      <c r="J55" s="3011" t="e">
        <f ca="1">ROUND(IF(J47="钢混",J57/J50,1-(1-2%)*(J50-J57)/J50),3)</f>
        <v>#VALUE!</v>
      </c>
      <c r="K55" s="2298" t="s">
        <v>2352</v>
      </c>
      <c r="L55" s="2299"/>
      <c r="O55" s="2325" t="s">
        <v>2407</v>
      </c>
      <c r="P55" s="1593"/>
      <c r="Q55" s="1605"/>
      <c r="R55" s="1593"/>
    </row>
    <row r="56" spans="1:18" s="1957" customFormat="1" ht="42.75" customHeight="1" thickBot="1">
      <c r="A56" s="1651"/>
      <c r="B56" s="2129" t="s">
        <v>2300</v>
      </c>
      <c r="C56" s="53">
        <f ca="1">C29</f>
        <v>0</v>
      </c>
      <c r="D56" s="2558"/>
      <c r="E56" s="784"/>
      <c r="F56" s="809"/>
      <c r="I56" s="2300" t="s">
        <v>2353</v>
      </c>
      <c r="J56" s="3035" t="s">
        <v>1677</v>
      </c>
      <c r="K56" s="2280" t="s">
        <v>2358</v>
      </c>
      <c r="L56" s="2289" t="str">
        <f ca="1">IF(L48&lt;J51,"——",L48-J51)</f>
        <v>——</v>
      </c>
      <c r="O56" s="2316" t="s">
        <v>2371</v>
      </c>
      <c r="P56" s="2317" t="s">
        <v>2372</v>
      </c>
      <c r="Q56" s="2318" t="s">
        <v>2373</v>
      </c>
      <c r="R56" s="2317" t="s">
        <v>2374</v>
      </c>
    </row>
    <row r="57" spans="1:18" s="1957" customFormat="1" ht="28.5" customHeight="1" thickBot="1">
      <c r="A57" s="797" t="s">
        <v>1747</v>
      </c>
      <c r="B57" s="798" t="s">
        <v>649</v>
      </c>
      <c r="C57" s="799">
        <f ca="1">ROUND(C58+C63+C64+C65,0)</f>
        <v>0</v>
      </c>
      <c r="D57" s="26" t="s">
        <v>1749</v>
      </c>
      <c r="E57" s="2559"/>
      <c r="F57" s="56"/>
      <c r="I57" s="2301" t="s">
        <v>2354</v>
      </c>
      <c r="J57" s="2303" t="str">
        <f ca="1">IF(OR(M47="住宅",J51&lt;L48,J56="是"),"——",J51-L48)</f>
        <v>——</v>
      </c>
      <c r="K57" s="2280" t="s">
        <v>2359</v>
      </c>
      <c r="L57" s="2289" t="str">
        <f ca="1">IF(L48&lt;J51,"——",IF(L55="比较法",L49,IF(L55="基准地价",L50,L51)))</f>
        <v>——</v>
      </c>
      <c r="O57" s="2319" t="s">
        <v>2375</v>
      </c>
      <c r="P57" s="2320" t="s">
        <v>2405</v>
      </c>
      <c r="Q57" s="2321" t="e">
        <f ca="1">C40+J29</f>
        <v>#DIV/0!</v>
      </c>
      <c r="R57" s="2320" t="s">
        <v>2376</v>
      </c>
    </row>
    <row r="58" spans="1:18" s="1957" customFormat="1" ht="28.5" customHeight="1" thickBot="1">
      <c r="A58" s="1650" t="s">
        <v>1823</v>
      </c>
      <c r="B58" s="784" t="s">
        <v>654</v>
      </c>
      <c r="C58" s="53">
        <f ca="1">ROUND(IF(项目基本情况!B11="自然人",C47*F58,C59+C60+C61),1)</f>
        <v>0</v>
      </c>
      <c r="D58" s="2557" t="s">
        <v>655</v>
      </c>
      <c r="E58" s="2558" t="s">
        <v>688</v>
      </c>
      <c r="F58" s="810" t="str">
        <f ca="1">IF(项目基本情况!B11="企业","",IF(INDIRECT("'数据-取费表'!c"&amp;$G$1)="住宅",5%,IF(F48*F49*F50/12/(1+'数据-取费表'!C42)&gt;20000,12%,7%)))</f>
        <v/>
      </c>
      <c r="I58" s="2301" t="s">
        <v>2355</v>
      </c>
      <c r="J58" s="3013" t="e">
        <f ca="1">IF(J55&lt;0.4,0.4,J55)</f>
        <v>#VALUE!</v>
      </c>
      <c r="K58" s="2280" t="s">
        <v>2360</v>
      </c>
      <c r="L58" s="2289" t="e">
        <f ca="1">ROUND(POWER(1+L52,L47-L48)*(POWER(1+L52,L48)-1)/(POWER(1+L52,L47)-1),4)</f>
        <v>#DIV/0!</v>
      </c>
      <c r="O58" s="2319" t="s">
        <v>2377</v>
      </c>
      <c r="P58" s="2320" t="s">
        <v>2408</v>
      </c>
      <c r="Q58" s="2321">
        <f ca="1">L60</f>
        <v>0</v>
      </c>
      <c r="R58" s="2324" t="s">
        <v>2410</v>
      </c>
    </row>
    <row r="59" spans="1:18" s="1957" customFormat="1" ht="28.5" customHeight="1" thickBot="1">
      <c r="A59" s="1649" t="s">
        <v>1830</v>
      </c>
      <c r="B59" s="784" t="s">
        <v>658</v>
      </c>
      <c r="C59" s="53">
        <f ca="1">ROUND(C47*F59/1.05,1)</f>
        <v>0</v>
      </c>
      <c r="D59" s="2558" t="s">
        <v>1755</v>
      </c>
      <c r="E59" s="784" t="s">
        <v>1746</v>
      </c>
      <c r="F59" s="809">
        <f t="shared" ref="F59:F65" si="0">F32</f>
        <v>5.6000000000000001E-2</v>
      </c>
      <c r="I59" s="2301" t="s">
        <v>2356</v>
      </c>
      <c r="J59" s="2303" t="str">
        <f ca="1">IF(OR(M47="住宅",J51&lt;L48,J56="是"),"——",ROUND(C29*J58,0))</f>
        <v>——</v>
      </c>
      <c r="K59" s="3042" t="str">
        <f>IF(D1="——","建筑物剩余耐用年限下的土地年期修正系数Kn","建设期及建筑物耐用年限下的土地年期修正系数Kn")</f>
        <v>建设期及建筑物耐用年限下的土地年期修正系数Kn</v>
      </c>
      <c r="L59" s="2289" t="e">
        <f ca="1">ROUND(IF(D1="土地（套用方法）",POWER(1+L52,L47-(J51+'数据-取费表'!B20))*(POWER(1+L52,(J51+'数据-取费表'!B20))-1)/(POWER(1+L52,L47)-1),POWER(1+L52,L47-J51)*(POWER(1+L52,J51)-1)/(POWER(1+L52,L47)-1)),4)</f>
        <v>#DIV/0!</v>
      </c>
      <c r="O59" s="2322" t="s">
        <v>2379</v>
      </c>
      <c r="P59" s="2320" t="s">
        <v>2409</v>
      </c>
      <c r="Q59" s="2321">
        <f>IF(L55="比较法",L49,IF(L55="基准地价",L50,0))</f>
        <v>0</v>
      </c>
      <c r="R59" s="2320" t="s">
        <v>2376</v>
      </c>
    </row>
    <row r="60" spans="1:18" s="1957" customFormat="1" ht="18" customHeight="1" thickBot="1">
      <c r="A60" s="1649" t="s">
        <v>1831</v>
      </c>
      <c r="B60" s="784" t="s">
        <v>1757</v>
      </c>
      <c r="C60" s="53">
        <f ca="1">IF(D60="按租金收入计税",ROUND(C47*F60,1),IF(D60="按房产原值计税",ROUND(C56*F60*0.7,1),INDIRECT("'数据-取费表'!Aj"&amp;$G$1)))</f>
        <v>0</v>
      </c>
      <c r="D60" s="2558" t="str">
        <f>D33</f>
        <v>按房产原值计税</v>
      </c>
      <c r="E60" s="784" t="s">
        <v>1746</v>
      </c>
      <c r="F60" s="809">
        <f t="shared" si="0"/>
        <v>1.2E-2</v>
      </c>
      <c r="I60" s="2302" t="s">
        <v>2357</v>
      </c>
      <c r="J60" s="2304" t="str">
        <f ca="1">IF(OR(M47="住宅",J51&lt;L48,J56="是"),"0",ROUND(J59/(1+J52)^J53,0))</f>
        <v>0</v>
      </c>
      <c r="K60" s="2305" t="s">
        <v>2362</v>
      </c>
      <c r="L60" s="2304">
        <f ca="1">IF(OR(M47="住宅",L48&lt;J51),0,ROUND(L57*(L58/L59-1),0))</f>
        <v>0</v>
      </c>
      <c r="O60" s="2322" t="s">
        <v>2380</v>
      </c>
      <c r="P60" s="2320" t="s">
        <v>2389</v>
      </c>
      <c r="Q60" s="2323">
        <f>L52</f>
        <v>0</v>
      </c>
      <c r="R60" s="2324"/>
    </row>
    <row r="61" spans="1:18" s="1957" customFormat="1" ht="18" customHeight="1" thickBot="1">
      <c r="A61" s="1652" t="s">
        <v>1832</v>
      </c>
      <c r="B61" s="341" t="s">
        <v>666</v>
      </c>
      <c r="C61" s="54">
        <f ca="1">ROUND(F61*F62/10000,1)</f>
        <v>0</v>
      </c>
      <c r="D61" s="814" t="s">
        <v>667</v>
      </c>
      <c r="E61" s="784" t="s">
        <v>668</v>
      </c>
      <c r="F61" s="640">
        <f t="shared" si="0"/>
        <v>8</v>
      </c>
      <c r="K61" s="1984"/>
      <c r="O61" s="2322" t="s">
        <v>2382</v>
      </c>
      <c r="P61" s="2320" t="s">
        <v>2390</v>
      </c>
      <c r="Q61" s="2321" t="e">
        <f ca="1">L58</f>
        <v>#DIV/0!</v>
      </c>
      <c r="R61" s="2324" t="s">
        <v>2391</v>
      </c>
    </row>
    <row r="62" spans="1:18" s="1957" customFormat="1" ht="15.75" thickBot="1">
      <c r="A62" s="815"/>
      <c r="B62" s="793"/>
      <c r="C62" s="69"/>
      <c r="D62" s="816"/>
      <c r="E62" s="784" t="s">
        <v>672</v>
      </c>
      <c r="F62" s="785">
        <f t="shared" ca="1" si="0"/>
        <v>0</v>
      </c>
      <c r="I62" s="2306" t="s">
        <v>2363</v>
      </c>
      <c r="J62" s="2307" t="s">
        <v>2364</v>
      </c>
      <c r="K62" s="2307" t="s">
        <v>2365</v>
      </c>
      <c r="L62" s="2307" t="s">
        <v>2346</v>
      </c>
      <c r="M62" s="3014" t="s">
        <v>2931</v>
      </c>
      <c r="O62" s="2322" t="s">
        <v>2384</v>
      </c>
      <c r="P62" s="2320" t="str">
        <f>K59</f>
        <v>建设期及建筑物耐用年限下的土地年期修正系数Kn</v>
      </c>
      <c r="Q62" s="2321" t="e">
        <f ca="1">L59</f>
        <v>#DIV/0!</v>
      </c>
      <c r="R62" s="2324" t="s">
        <v>2393</v>
      </c>
    </row>
    <row r="63" spans="1:18" s="1957" customFormat="1" ht="15.75" thickBot="1">
      <c r="A63" s="1650" t="s">
        <v>1888</v>
      </c>
      <c r="B63" s="784" t="s">
        <v>674</v>
      </c>
      <c r="C63" s="53">
        <f ca="1">ROUND(C56*F63,1)</f>
        <v>0</v>
      </c>
      <c r="D63" s="2558" t="s">
        <v>1802</v>
      </c>
      <c r="E63" s="784" t="s">
        <v>1746</v>
      </c>
      <c r="F63" s="817">
        <f t="shared" ca="1" si="0"/>
        <v>0</v>
      </c>
      <c r="I63" s="2306" t="s">
        <v>2366</v>
      </c>
      <c r="J63" s="2307">
        <v>70</v>
      </c>
      <c r="K63" s="2307">
        <v>50</v>
      </c>
      <c r="L63" s="2307">
        <v>80</v>
      </c>
      <c r="M63" s="3015">
        <v>0.02</v>
      </c>
      <c r="O63" s="2319" t="s">
        <v>2387</v>
      </c>
      <c r="P63" s="2320" t="s">
        <v>2404</v>
      </c>
      <c r="Q63" s="2321" t="e">
        <f ca="1">Q57+Q58</f>
        <v>#DIV/0!</v>
      </c>
      <c r="R63" s="2324" t="s">
        <v>2388</v>
      </c>
    </row>
    <row r="64" spans="1:18" s="1957" customFormat="1" ht="16.5" thickBot="1">
      <c r="A64" s="1650" t="s">
        <v>1889</v>
      </c>
      <c r="B64" s="784" t="s">
        <v>677</v>
      </c>
      <c r="C64" s="53">
        <f ca="1">ROUND(C55*F64,1)</f>
        <v>0</v>
      </c>
      <c r="D64" s="2558" t="s">
        <v>678</v>
      </c>
      <c r="E64" s="784" t="s">
        <v>1746</v>
      </c>
      <c r="F64" s="818">
        <f t="shared" ca="1" si="0"/>
        <v>0</v>
      </c>
      <c r="I64" s="2306" t="s">
        <v>2367</v>
      </c>
      <c r="J64" s="2307">
        <v>50</v>
      </c>
      <c r="K64" s="2307">
        <v>35</v>
      </c>
      <c r="L64" s="2307">
        <v>60</v>
      </c>
      <c r="M64" s="3016">
        <v>0</v>
      </c>
      <c r="O64" s="2325" t="s">
        <v>2411</v>
      </c>
      <c r="P64" s="1593"/>
      <c r="Q64" s="1605"/>
      <c r="R64" s="1593"/>
    </row>
    <row r="65" spans="1:18" s="1957" customFormat="1" ht="15.75" thickBot="1">
      <c r="A65" s="1650" t="s">
        <v>1890</v>
      </c>
      <c r="B65" s="784" t="s">
        <v>664</v>
      </c>
      <c r="C65" s="53">
        <f ca="1">ROUND(C47*F65,1)</f>
        <v>0</v>
      </c>
      <c r="D65" s="2558" t="s">
        <v>681</v>
      </c>
      <c r="E65" s="784" t="s">
        <v>1746</v>
      </c>
      <c r="F65" s="794">
        <f t="shared" ca="1" si="0"/>
        <v>0</v>
      </c>
      <c r="I65" s="2306" t="s">
        <v>2368</v>
      </c>
      <c r="J65" s="2307">
        <v>40</v>
      </c>
      <c r="K65" s="2307">
        <v>30</v>
      </c>
      <c r="L65" s="2307">
        <v>50</v>
      </c>
      <c r="M65" s="3015">
        <v>0.02</v>
      </c>
      <c r="O65" s="2316" t="s">
        <v>2371</v>
      </c>
      <c r="P65" s="2317" t="s">
        <v>2372</v>
      </c>
      <c r="Q65" s="2318" t="s">
        <v>2373</v>
      </c>
      <c r="R65" s="2317" t="s">
        <v>2374</v>
      </c>
    </row>
    <row r="66" spans="1:18" s="1957" customFormat="1" ht="24.75" thickBot="1">
      <c r="A66" s="797" t="s">
        <v>1775</v>
      </c>
      <c r="B66" s="2926" t="s">
        <v>2821</v>
      </c>
      <c r="C66" s="799">
        <f ca="1">C47-C57</f>
        <v>0</v>
      </c>
      <c r="D66" s="2557" t="s">
        <v>698</v>
      </c>
      <c r="E66" s="2556"/>
      <c r="F66" s="820"/>
      <c r="K66" s="1984"/>
      <c r="O66" s="2319" t="s">
        <v>2375</v>
      </c>
      <c r="P66" s="2320" t="s">
        <v>2405</v>
      </c>
      <c r="Q66" s="2321" t="e">
        <f ca="1">C40+J29</f>
        <v>#DIV/0!</v>
      </c>
      <c r="R66" s="2320" t="s">
        <v>2376</v>
      </c>
    </row>
    <row r="67" spans="1:18" s="1957" customFormat="1" ht="20.25" thickBot="1">
      <c r="A67" s="781" t="s">
        <v>1779</v>
      </c>
      <c r="B67" s="2130" t="s">
        <v>2299</v>
      </c>
      <c r="C67" s="783" t="e">
        <f ca="1">ROUND(C66*(1-((1+F69)/(1+F67))^F68)/(F67-F69),0)</f>
        <v>#DIV/0!</v>
      </c>
      <c r="D67" s="814" t="s">
        <v>702</v>
      </c>
      <c r="E67" s="784" t="s">
        <v>703</v>
      </c>
      <c r="F67" s="794">
        <f ca="1">F40</f>
        <v>0</v>
      </c>
      <c r="K67" s="1984"/>
      <c r="O67" s="2319" t="s">
        <v>2377</v>
      </c>
      <c r="P67" s="2320" t="s">
        <v>2408</v>
      </c>
      <c r="Q67" s="2321">
        <f ca="1">L60</f>
        <v>0</v>
      </c>
      <c r="R67" s="2324" t="s">
        <v>2410</v>
      </c>
    </row>
    <row r="68" spans="1:18" ht="21.75" thickBot="1">
      <c r="A68" s="786"/>
      <c r="B68" s="787"/>
      <c r="C68" s="788"/>
      <c r="D68" s="821" t="s">
        <v>1807</v>
      </c>
      <c r="E68" s="784" t="s">
        <v>1783</v>
      </c>
      <c r="F68" s="822">
        <f ca="1">F41</f>
        <v>0</v>
      </c>
      <c r="O68" s="2322" t="s">
        <v>2379</v>
      </c>
      <c r="P68" s="2320" t="s">
        <v>2409</v>
      </c>
      <c r="Q68" s="2326">
        <f ca="1">L51</f>
        <v>0</v>
      </c>
      <c r="R68" s="2327" t="s">
        <v>2412</v>
      </c>
    </row>
    <row r="69" spans="1:18" ht="20.25" thickBot="1">
      <c r="A69" s="790"/>
      <c r="B69" s="791"/>
      <c r="C69" s="792"/>
      <c r="D69" s="816"/>
      <c r="E69" s="784" t="s">
        <v>708</v>
      </c>
      <c r="F69" s="2268"/>
      <c r="O69" s="2322" t="s">
        <v>2380</v>
      </c>
      <c r="P69" s="2328" t="s">
        <v>2394</v>
      </c>
      <c r="Q69" s="2321">
        <f ca="1">ROUND(Q70-Q71*Q72,0)</f>
        <v>0</v>
      </c>
      <c r="R69" s="2324"/>
    </row>
    <row r="70" spans="1:18" ht="15.75" thickBot="1">
      <c r="A70" s="823" t="s">
        <v>1786</v>
      </c>
      <c r="B70" s="824" t="s">
        <v>1809</v>
      </c>
      <c r="C70" s="825" t="e">
        <f ca="1">ROUND(C67*10000/F70,0)</f>
        <v>#DIV/0!</v>
      </c>
      <c r="D70" s="826" t="s">
        <v>1810</v>
      </c>
      <c r="E70" s="827" t="s">
        <v>1811</v>
      </c>
      <c r="F70" s="828">
        <f ca="1">F43</f>
        <v>0</v>
      </c>
      <c r="O70" s="2322" t="s">
        <v>2395</v>
      </c>
      <c r="P70" s="2328" t="s">
        <v>2396</v>
      </c>
      <c r="Q70" s="2321">
        <f ca="1">C39</f>
        <v>0</v>
      </c>
      <c r="R70" s="2320" t="s">
        <v>2376</v>
      </c>
    </row>
    <row r="71" spans="1:18" ht="15.75" thickBot="1">
      <c r="O71" s="2322" t="s">
        <v>2397</v>
      </c>
      <c r="P71" s="2328" t="s">
        <v>2398</v>
      </c>
      <c r="Q71" s="2321">
        <f ca="1">C13</f>
        <v>0</v>
      </c>
      <c r="R71" s="2320" t="s">
        <v>2376</v>
      </c>
    </row>
    <row r="72" spans="1:18" ht="15.75" thickBot="1">
      <c r="O72" s="2322" t="s">
        <v>2399</v>
      </c>
      <c r="P72" s="2328" t="s">
        <v>2400</v>
      </c>
      <c r="Q72" s="2323">
        <f ca="1">J36</f>
        <v>0</v>
      </c>
      <c r="R72" s="2324"/>
    </row>
    <row r="73" spans="1:18" ht="15.75" thickBot="1">
      <c r="O73" s="2322" t="s">
        <v>2382</v>
      </c>
      <c r="P73" s="2320" t="s">
        <v>2389</v>
      </c>
      <c r="Q73" s="2323">
        <f>L52</f>
        <v>0</v>
      </c>
      <c r="R73" s="2324"/>
    </row>
    <row r="74" spans="1:18" ht="20.25" thickBot="1">
      <c r="O74" s="2322" t="s">
        <v>2384</v>
      </c>
      <c r="P74" s="2320" t="s">
        <v>2390</v>
      </c>
      <c r="Q74" s="2321" t="e">
        <f ca="1">L58</f>
        <v>#DIV/0!</v>
      </c>
      <c r="R74" s="2324" t="s">
        <v>2391</v>
      </c>
    </row>
    <row r="75" spans="1:18" ht="15.75" thickBot="1">
      <c r="O75" s="2322" t="s">
        <v>2413</v>
      </c>
      <c r="P75" s="2320" t="str">
        <f>K59</f>
        <v>建设期及建筑物耐用年限下的土地年期修正系数Kn</v>
      </c>
      <c r="Q75" s="2321" t="e">
        <f ca="1">L59</f>
        <v>#DIV/0!</v>
      </c>
      <c r="R75" s="2324" t="s">
        <v>2393</v>
      </c>
    </row>
    <row r="76" spans="1:18" ht="15.75" thickBot="1">
      <c r="O76" s="2319" t="s">
        <v>2387</v>
      </c>
      <c r="P76" s="2320" t="s">
        <v>2404</v>
      </c>
      <c r="Q76" s="2321" t="e">
        <f ca="1">Q66+Q67</f>
        <v>#DIV/0!</v>
      </c>
      <c r="R76" s="232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46" t="s">
        <v>2468</v>
      </c>
      <c r="B1" s="3647"/>
      <c r="C1" s="3648"/>
      <c r="D1" s="3649">
        <f>SUM(I10,I15,I20,I21,I23)</f>
        <v>0</v>
      </c>
      <c r="E1" s="3649"/>
      <c r="F1" s="3649"/>
      <c r="G1" s="3649"/>
      <c r="H1" s="3649"/>
      <c r="I1" s="3650"/>
    </row>
    <row r="2" spans="1:9">
      <c r="A2" s="3636" t="s">
        <v>2469</v>
      </c>
      <c r="B2" s="3637" t="s">
        <v>2470</v>
      </c>
      <c r="C2" s="3637"/>
      <c r="D2" s="2426" t="s">
        <v>2471</v>
      </c>
      <c r="E2" s="2426" t="s">
        <v>2472</v>
      </c>
      <c r="F2" s="2426" t="s">
        <v>2473</v>
      </c>
      <c r="G2" s="2426" t="s">
        <v>2474</v>
      </c>
      <c r="H2" s="2426" t="s">
        <v>2475</v>
      </c>
      <c r="I2" s="2427" t="s">
        <v>2476</v>
      </c>
    </row>
    <row r="3" spans="1:9">
      <c r="A3" s="3636"/>
      <c r="B3" s="3637" t="s">
        <v>2477</v>
      </c>
      <c r="C3" s="3637"/>
      <c r="D3" s="2428"/>
      <c r="E3" s="2426"/>
      <c r="F3" s="2429"/>
      <c r="G3" s="2429"/>
      <c r="H3" s="2430"/>
      <c r="I3" s="2431">
        <f>ROUND(D3*E3*F3*G3*H3/10000,0)</f>
        <v>0</v>
      </c>
    </row>
    <row r="4" spans="1:9">
      <c r="A4" s="3636"/>
      <c r="B4" s="3637" t="s">
        <v>2478</v>
      </c>
      <c r="C4" s="3637"/>
      <c r="D4" s="2428"/>
      <c r="E4" s="2426"/>
      <c r="F4" s="2429"/>
      <c r="G4" s="2429"/>
      <c r="H4" s="2430"/>
      <c r="I4" s="2431">
        <f t="shared" ref="I4:I9" si="0">ROUND(D4*E4*F4*G4*H4/10000,0)</f>
        <v>0</v>
      </c>
    </row>
    <row r="5" spans="1:9">
      <c r="A5" s="3636"/>
      <c r="B5" s="3637" t="s">
        <v>2479</v>
      </c>
      <c r="C5" s="3637"/>
      <c r="D5" s="2428"/>
      <c r="E5" s="2426"/>
      <c r="F5" s="2429"/>
      <c r="G5" s="2429"/>
      <c r="H5" s="2430"/>
      <c r="I5" s="2431">
        <f t="shared" si="0"/>
        <v>0</v>
      </c>
    </row>
    <row r="6" spans="1:9">
      <c r="A6" s="3636"/>
      <c r="B6" s="3637" t="s">
        <v>2480</v>
      </c>
      <c r="C6" s="3637"/>
      <c r="D6" s="2428"/>
      <c r="E6" s="2426"/>
      <c r="F6" s="2429"/>
      <c r="G6" s="2429"/>
      <c r="H6" s="2430"/>
      <c r="I6" s="2431">
        <f t="shared" si="0"/>
        <v>0</v>
      </c>
    </row>
    <row r="7" spans="1:9">
      <c r="A7" s="3636"/>
      <c r="B7" s="3637" t="s">
        <v>2481</v>
      </c>
      <c r="C7" s="3637"/>
      <c r="D7" s="2428"/>
      <c r="E7" s="2426"/>
      <c r="F7" s="2429"/>
      <c r="G7" s="2429"/>
      <c r="H7" s="2430"/>
      <c r="I7" s="2431">
        <f t="shared" si="0"/>
        <v>0</v>
      </c>
    </row>
    <row r="8" spans="1:9">
      <c r="A8" s="3636"/>
      <c r="B8" s="3637" t="s">
        <v>2482</v>
      </c>
      <c r="C8" s="3637"/>
      <c r="D8" s="2428"/>
      <c r="E8" s="2426"/>
      <c r="F8" s="2429"/>
      <c r="G8" s="2429"/>
      <c r="H8" s="2430"/>
      <c r="I8" s="2431">
        <f t="shared" si="0"/>
        <v>0</v>
      </c>
    </row>
    <row r="9" spans="1:9">
      <c r="A9" s="3636"/>
      <c r="B9" s="3637" t="s">
        <v>2483</v>
      </c>
      <c r="C9" s="3637"/>
      <c r="D9" s="2428"/>
      <c r="E9" s="2426"/>
      <c r="F9" s="2429"/>
      <c r="G9" s="2429"/>
      <c r="H9" s="2430"/>
      <c r="I9" s="2431">
        <f t="shared" si="0"/>
        <v>0</v>
      </c>
    </row>
    <row r="10" spans="1:9">
      <c r="A10" s="3636"/>
      <c r="B10" s="3638" t="s">
        <v>2484</v>
      </c>
      <c r="C10" s="3638"/>
      <c r="D10" s="2432">
        <v>527</v>
      </c>
      <c r="E10" s="2432" t="e">
        <f>ROUND(D1*10000/D10/H9,0)</f>
        <v>#DIV/0!</v>
      </c>
      <c r="F10" s="2433"/>
      <c r="G10" s="2433"/>
      <c r="H10" s="2434"/>
      <c r="I10" s="2435">
        <f>SUM(I3:I9)</f>
        <v>0</v>
      </c>
    </row>
    <row r="11" spans="1:9" ht="14.25">
      <c r="A11" s="3636" t="s">
        <v>2485</v>
      </c>
      <c r="B11" s="3637" t="s">
        <v>2486</v>
      </c>
      <c r="C11" s="3637"/>
      <c r="D11" s="2428" t="s">
        <v>2487</v>
      </c>
      <c r="E11" s="2428" t="s">
        <v>2488</v>
      </c>
      <c r="F11" s="2429" t="s">
        <v>2489</v>
      </c>
      <c r="G11" s="2429" t="s">
        <v>2490</v>
      </c>
      <c r="H11" s="2436" t="s">
        <v>2491</v>
      </c>
      <c r="I11" s="2427" t="s">
        <v>2492</v>
      </c>
    </row>
    <row r="12" spans="1:9">
      <c r="A12" s="3636"/>
      <c r="B12" s="3637" t="s">
        <v>2493</v>
      </c>
      <c r="C12" s="3637"/>
      <c r="D12" s="2428"/>
      <c r="E12" s="2428"/>
      <c r="F12" s="2429"/>
      <c r="G12" s="2430"/>
      <c r="H12" s="2437"/>
      <c r="I12" s="2427">
        <f>ROUND(D12*E12*F12*G12/10000,0)</f>
        <v>0</v>
      </c>
    </row>
    <row r="13" spans="1:9">
      <c r="A13" s="3636"/>
      <c r="B13" s="3637" t="s">
        <v>2494</v>
      </c>
      <c r="C13" s="3637"/>
      <c r="D13" s="2428"/>
      <c r="E13" s="2428"/>
      <c r="F13" s="2429"/>
      <c r="G13" s="2430"/>
      <c r="H13" s="2437"/>
      <c r="I13" s="2427">
        <f>ROUND(D13*E13*F13*G13/10000,0)</f>
        <v>0</v>
      </c>
    </row>
    <row r="14" spans="1:9">
      <c r="A14" s="3636"/>
      <c r="B14" s="3637" t="s">
        <v>2495</v>
      </c>
      <c r="C14" s="3637"/>
      <c r="D14" s="2428"/>
      <c r="E14" s="2428"/>
      <c r="F14" s="2429"/>
      <c r="G14" s="2430"/>
      <c r="H14" s="2437"/>
      <c r="I14" s="2427">
        <f>ROUND(D14*E14*F14*G14/10000,0)</f>
        <v>0</v>
      </c>
    </row>
    <row r="15" spans="1:9">
      <c r="A15" s="3636"/>
      <c r="B15" s="3638" t="s">
        <v>2484</v>
      </c>
      <c r="C15" s="3638"/>
      <c r="D15" s="2432"/>
      <c r="E15" s="2432">
        <f>SUM(E12:E14)</f>
        <v>0</v>
      </c>
      <c r="F15" s="2433"/>
      <c r="G15" s="2430"/>
      <c r="H15" s="2437"/>
      <c r="I15" s="2438">
        <f>SUM(I12:I14)</f>
        <v>0</v>
      </c>
    </row>
    <row r="16" spans="1:9" ht="24">
      <c r="A16" s="3636" t="s">
        <v>2496</v>
      </c>
      <c r="B16" s="3637" t="s">
        <v>2497</v>
      </c>
      <c r="C16" s="3637"/>
      <c r="D16" s="2428" t="s">
        <v>2498</v>
      </c>
      <c r="E16" s="2439" t="s">
        <v>2499</v>
      </c>
      <c r="F16" s="2429" t="s">
        <v>2500</v>
      </c>
      <c r="G16" s="2430" t="s">
        <v>2490</v>
      </c>
      <c r="H16" s="2436" t="s">
        <v>2491</v>
      </c>
      <c r="I16" s="2427" t="s">
        <v>2492</v>
      </c>
    </row>
    <row r="17" spans="1:9" ht="14.25">
      <c r="A17" s="3636"/>
      <c r="B17" s="3637" t="s">
        <v>2501</v>
      </c>
      <c r="C17" s="3637"/>
      <c r="D17" s="2428"/>
      <c r="E17" s="2428"/>
      <c r="F17" s="2429"/>
      <c r="G17" s="2430"/>
      <c r="H17" s="2440"/>
      <c r="I17" s="2441">
        <f>ROUND(D17*E17*F17*G17/10000,0)</f>
        <v>0</v>
      </c>
    </row>
    <row r="18" spans="1:9" ht="14.25">
      <c r="A18" s="3636"/>
      <c r="B18" s="3637" t="s">
        <v>2502</v>
      </c>
      <c r="C18" s="3637"/>
      <c r="D18" s="2428"/>
      <c r="E18" s="2428"/>
      <c r="F18" s="2429"/>
      <c r="G18" s="2430"/>
      <c r="H18" s="2440"/>
      <c r="I18" s="2441">
        <f>ROUND(D18*E18*F18*G18/10000,0)</f>
        <v>0</v>
      </c>
    </row>
    <row r="19" spans="1:9" ht="14.25">
      <c r="A19" s="3636"/>
      <c r="B19" s="3637" t="s">
        <v>2503</v>
      </c>
      <c r="C19" s="3637"/>
      <c r="D19" s="2428"/>
      <c r="E19" s="2428"/>
      <c r="F19" s="2429"/>
      <c r="G19" s="2430"/>
      <c r="H19" s="2440"/>
      <c r="I19" s="2441">
        <f>ROUND(D19*E19*F19*G19/10000,0)</f>
        <v>0</v>
      </c>
    </row>
    <row r="20" spans="1:9">
      <c r="A20" s="3636"/>
      <c r="B20" s="3638" t="s">
        <v>2484</v>
      </c>
      <c r="C20" s="3638"/>
      <c r="D20" s="2432">
        <f>SUM(D17:D19)</f>
        <v>0</v>
      </c>
      <c r="E20" s="2432"/>
      <c r="F20" s="2433"/>
      <c r="G20" s="2430"/>
      <c r="H20" s="2437"/>
      <c r="I20" s="2438">
        <f>SUM(I17:I19)</f>
        <v>0</v>
      </c>
    </row>
    <row r="21" spans="1:9">
      <c r="A21" s="3636" t="s">
        <v>2504</v>
      </c>
      <c r="B21" s="3639"/>
      <c r="C21" s="3639"/>
      <c r="D21" s="3639"/>
      <c r="E21" s="3639"/>
      <c r="F21" s="3639"/>
      <c r="G21" s="3639"/>
      <c r="H21" s="2442">
        <v>0.1</v>
      </c>
      <c r="I21" s="2435">
        <f>ROUND(I10*H21,0)</f>
        <v>0</v>
      </c>
    </row>
    <row r="22" spans="1:9" ht="14.25">
      <c r="A22" s="3640" t="s">
        <v>2505</v>
      </c>
      <c r="B22" s="3641"/>
      <c r="C22" s="3642"/>
      <c r="D22" s="2443" t="s">
        <v>2506</v>
      </c>
      <c r="E22" s="2443" t="s">
        <v>2507</v>
      </c>
      <c r="F22" s="2444" t="s">
        <v>2508</v>
      </c>
      <c r="G22" s="2444" t="s">
        <v>2509</v>
      </c>
      <c r="H22" s="2436" t="s">
        <v>2510</v>
      </c>
      <c r="I22" s="2427" t="s">
        <v>2511</v>
      </c>
    </row>
    <row r="23" spans="1:9" ht="14.25" thickBot="1">
      <c r="A23" s="3643"/>
      <c r="B23" s="3644"/>
      <c r="C23" s="3645"/>
      <c r="D23" s="2445"/>
      <c r="E23" s="2445"/>
      <c r="F23" s="2445"/>
      <c r="G23" s="2446"/>
      <c r="H23" s="2447"/>
      <c r="I23" s="2448">
        <f>ROUND(E23*D23*F23*(1-G23)/10000,0)</f>
        <v>0</v>
      </c>
    </row>
    <row r="26" spans="1:9">
      <c r="A26" s="2449" t="s">
        <v>2512</v>
      </c>
      <c r="B26" s="2449"/>
      <c r="C26" s="2449"/>
      <c r="D26" s="2449"/>
      <c r="E26" s="3633">
        <f>C27-C30-C31-C32</f>
        <v>0</v>
      </c>
      <c r="F26" s="3633"/>
      <c r="G26" s="3633"/>
      <c r="H26" s="2959" t="s">
        <v>2842</v>
      </c>
    </row>
    <row r="27" spans="1:9">
      <c r="A27" s="2450">
        <v>1</v>
      </c>
      <c r="B27" s="2451" t="s">
        <v>2513</v>
      </c>
      <c r="C27" s="2451"/>
      <c r="D27" s="2451"/>
      <c r="E27" s="3634"/>
      <c r="F27" s="3634"/>
      <c r="G27" s="3634"/>
    </row>
    <row r="28" spans="1:9">
      <c r="A28" s="2452" t="s">
        <v>2514</v>
      </c>
      <c r="B28" s="2451" t="s">
        <v>2515</v>
      </c>
      <c r="C28" s="2451"/>
      <c r="D28" s="2451"/>
      <c r="E28" s="3634"/>
      <c r="F28" s="3634"/>
      <c r="G28" s="3634"/>
    </row>
    <row r="29" spans="1:9">
      <c r="A29" s="2452" t="s">
        <v>2516</v>
      </c>
      <c r="B29" s="2451" t="s">
        <v>2456</v>
      </c>
      <c r="C29" s="2451"/>
      <c r="D29" s="2451"/>
      <c r="E29" s="2451" t="s">
        <v>2517</v>
      </c>
      <c r="F29" s="2451"/>
      <c r="G29" s="2451"/>
    </row>
    <row r="30" spans="1:9">
      <c r="A30" s="2450">
        <v>2</v>
      </c>
      <c r="B30" s="2451" t="s">
        <v>2518</v>
      </c>
      <c r="C30" s="2451">
        <f>C27*D30</f>
        <v>0</v>
      </c>
      <c r="D30" s="2453">
        <v>0.2</v>
      </c>
      <c r="E30" s="2451" t="s">
        <v>2519</v>
      </c>
      <c r="F30" s="2451"/>
      <c r="G30" s="2451"/>
    </row>
    <row r="31" spans="1:9">
      <c r="A31" s="2450">
        <v>3</v>
      </c>
      <c r="B31" s="2451" t="s">
        <v>2520</v>
      </c>
      <c r="C31" s="2451">
        <f>C25*D31</f>
        <v>0</v>
      </c>
      <c r="D31" s="2453">
        <v>0.15</v>
      </c>
      <c r="E31" s="2451" t="s">
        <v>2521</v>
      </c>
      <c r="F31" s="2451"/>
      <c r="G31" s="2451"/>
    </row>
    <row r="32" spans="1:9">
      <c r="A32" s="2450">
        <v>4</v>
      </c>
      <c r="B32" s="2451" t="s">
        <v>2522</v>
      </c>
      <c r="C32" s="2451">
        <f>C27*D32</f>
        <v>0</v>
      </c>
      <c r="D32" s="2453">
        <v>0.05</v>
      </c>
      <c r="E32" s="3635"/>
      <c r="F32" s="3635"/>
      <c r="G32" s="3635"/>
    </row>
    <row r="33" spans="1:7" hidden="1">
      <c r="A33" s="3630" t="s">
        <v>2523</v>
      </c>
      <c r="B33" s="3631"/>
      <c r="C33" s="3631"/>
      <c r="D33" s="3632"/>
      <c r="E33" s="3633"/>
      <c r="F33" s="3633"/>
      <c r="G33" s="3633"/>
    </row>
    <row r="34" spans="1:7" hidden="1">
      <c r="A34" s="2454">
        <v>1</v>
      </c>
      <c r="B34" s="2451" t="s">
        <v>2524</v>
      </c>
      <c r="C34" s="2451"/>
      <c r="D34" s="2451"/>
      <c r="E34" s="3634"/>
      <c r="F34" s="3634"/>
      <c r="G34" s="3634"/>
    </row>
    <row r="35" spans="1:7" hidden="1">
      <c r="A35" s="2454">
        <v>2</v>
      </c>
      <c r="B35" s="2451" t="s">
        <v>2525</v>
      </c>
      <c r="C35" s="2451"/>
      <c r="D35" s="2451"/>
      <c r="E35" s="3634"/>
      <c r="F35" s="3634"/>
      <c r="G35" s="3634"/>
    </row>
    <row r="36" spans="1:7" hidden="1">
      <c r="A36" s="2454">
        <v>3</v>
      </c>
      <c r="B36" s="2451" t="s">
        <v>2526</v>
      </c>
      <c r="C36" s="2451"/>
      <c r="D36" s="2451"/>
      <c r="E36" s="3634"/>
      <c r="F36" s="3634"/>
      <c r="G36" s="3634"/>
    </row>
    <row r="37" spans="1:7" hidden="1">
      <c r="A37" s="2454">
        <v>4</v>
      </c>
      <c r="B37" s="2451" t="s">
        <v>2527</v>
      </c>
      <c r="C37" s="2451"/>
      <c r="D37" s="2451"/>
      <c r="E37" s="3634"/>
      <c r="F37" s="3634"/>
      <c r="G37" s="3634"/>
    </row>
    <row r="38" spans="1:7" hidden="1">
      <c r="A38" s="3630" t="s">
        <v>2528</v>
      </c>
      <c r="B38" s="3631"/>
      <c r="C38" s="3631"/>
      <c r="D38" s="3632"/>
      <c r="E38" s="3633"/>
      <c r="F38" s="3633"/>
      <c r="G38" s="36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421" t="s">
        <v>601</v>
      </c>
      <c r="B1" s="742"/>
      <c r="C1" s="2080"/>
      <c r="D1" s="2080"/>
      <c r="E1" s="2080"/>
      <c r="F1" s="2080"/>
      <c r="G1" s="2006"/>
    </row>
    <row r="2" spans="1:25" s="1957" customFormat="1" ht="18" customHeight="1">
      <c r="A2" s="423" t="s">
        <v>464</v>
      </c>
      <c r="B2" s="425">
        <f ca="1">C23</f>
        <v>0</v>
      </c>
      <c r="C2" s="2006"/>
      <c r="D2" s="2006"/>
      <c r="E2" s="2006"/>
      <c r="F2" s="2006"/>
      <c r="G2" s="2006"/>
    </row>
    <row r="3" spans="1:25" s="1957" customFormat="1" ht="18" customHeight="1">
      <c r="A3" s="1380" t="s">
        <v>1684</v>
      </c>
      <c r="B3" s="425">
        <f ca="1">ROUND(B2*10000/'数据-汇总表'!E3,0)</f>
        <v>0</v>
      </c>
      <c r="C3" s="2006"/>
      <c r="D3" s="2006"/>
      <c r="E3" s="2006"/>
      <c r="F3" s="2006"/>
      <c r="G3" s="2006"/>
    </row>
    <row r="4" spans="1:25" s="1957" customFormat="1" ht="18" customHeight="1">
      <c r="A4" s="426" t="s">
        <v>465</v>
      </c>
      <c r="B4" s="427">
        <f ca="1">ROUND(B2*10000/'数据-汇总表'!D3,0)</f>
        <v>0</v>
      </c>
      <c r="C4" s="1959"/>
      <c r="D4" s="2006"/>
      <c r="E4" s="2006"/>
      <c r="F4" s="2006"/>
      <c r="G4" s="2006"/>
    </row>
    <row r="5" spans="1:25" s="1957" customFormat="1" ht="18" customHeight="1" thickBot="1">
      <c r="A5" s="429"/>
      <c r="B5" s="430">
        <f ca="1">ROUND(B2/('数据-汇总表'!D3/666.67),0)</f>
        <v>0</v>
      </c>
      <c r="C5" s="431" t="s">
        <v>466</v>
      </c>
      <c r="D5" s="2006"/>
      <c r="E5" s="2006"/>
      <c r="F5" s="2006"/>
      <c r="G5" s="2006"/>
    </row>
    <row r="6" spans="1:25" s="2081" customFormat="1" ht="13.5" customHeight="1">
      <c r="A6" s="743"/>
      <c r="B6" s="744" t="s">
        <v>602</v>
      </c>
      <c r="C6" s="745" t="s">
        <v>603</v>
      </c>
      <c r="D6" s="745" t="s">
        <v>604</v>
      </c>
      <c r="E6" s="746" t="s">
        <v>605</v>
      </c>
      <c r="F6" s="746" t="s">
        <v>606</v>
      </c>
      <c r="G6" s="747"/>
    </row>
    <row r="7" spans="1:25" s="2081" customFormat="1" ht="13.5" customHeight="1">
      <c r="A7" s="2388">
        <v>1</v>
      </c>
      <c r="B7" s="748" t="s">
        <v>607</v>
      </c>
      <c r="C7" s="749">
        <f>C8+C9</f>
        <v>0</v>
      </c>
      <c r="D7" s="749"/>
      <c r="E7" s="750"/>
      <c r="F7" s="750"/>
      <c r="G7" s="2398"/>
    </row>
    <row r="8" spans="1:25" s="2081" customFormat="1" ht="13.5" customHeight="1">
      <c r="A8" s="2388" t="s">
        <v>2436</v>
      </c>
      <c r="B8" s="2391" t="s">
        <v>2438</v>
      </c>
      <c r="C8" s="2392"/>
      <c r="D8" s="749"/>
      <c r="E8" s="750"/>
      <c r="F8" s="750"/>
      <c r="G8" s="751"/>
    </row>
    <row r="9" spans="1:25" s="2081" customFormat="1" ht="13.5" customHeight="1">
      <c r="A9" s="2388" t="s">
        <v>2437</v>
      </c>
      <c r="B9" s="2391" t="s">
        <v>2439</v>
      </c>
      <c r="C9" s="2392"/>
      <c r="D9" s="749"/>
      <c r="E9" s="750"/>
      <c r="F9" s="750"/>
      <c r="G9" s="751"/>
    </row>
    <row r="10" spans="1:25" s="2081" customFormat="1" ht="36">
      <c r="A10" s="2388">
        <v>2</v>
      </c>
      <c r="B10" s="748" t="s">
        <v>611</v>
      </c>
      <c r="C10" s="749">
        <f>C11+C14+C15</f>
        <v>0</v>
      </c>
      <c r="D10" s="760">
        <f>'数据-汇总表'!E3</f>
        <v>154292.6</v>
      </c>
      <c r="E10" s="749">
        <f>'数据-取费表'!B31</f>
        <v>100</v>
      </c>
      <c r="F10" s="761"/>
      <c r="G10" s="759" t="s">
        <v>612</v>
      </c>
    </row>
    <row r="11" spans="1:25" s="2081" customFormat="1" ht="13.5" customHeight="1">
      <c r="A11" s="2388" t="s">
        <v>2436</v>
      </c>
      <c r="B11" s="752" t="s">
        <v>608</v>
      </c>
      <c r="C11" s="753">
        <f>'数据-取费表'!B29</f>
        <v>0</v>
      </c>
      <c r="D11" s="754"/>
      <c r="E11" s="753"/>
      <c r="F11" s="755"/>
      <c r="G11" s="2397" t="s">
        <v>2447</v>
      </c>
    </row>
    <row r="12" spans="1:25" s="2081" customFormat="1" ht="13.5" customHeight="1">
      <c r="A12" s="2395" t="s">
        <v>2444</v>
      </c>
      <c r="B12" s="756" t="s">
        <v>609</v>
      </c>
      <c r="C12" s="757">
        <f>ROUND(D12*E12/10000,0)</f>
        <v>1960</v>
      </c>
      <c r="D12" s="758">
        <f>'数据-汇总表'!E5</f>
        <v>154292.6</v>
      </c>
      <c r="E12" s="757">
        <f>'数据-取费表'!B27</f>
        <v>127</v>
      </c>
      <c r="F12" s="755"/>
      <c r="G12" s="759"/>
    </row>
    <row r="13" spans="1:25" s="2081" customFormat="1" ht="13.5" customHeight="1">
      <c r="A13" s="2395" t="s">
        <v>2443</v>
      </c>
      <c r="B13" s="756" t="s">
        <v>610</v>
      </c>
      <c r="C13" s="757">
        <f>ROUND(D13*E13/10000,0)</f>
        <v>0</v>
      </c>
      <c r="D13" s="758">
        <f>'数据-汇总表'!E6</f>
        <v>0</v>
      </c>
      <c r="E13" s="757">
        <f>'数据-取费表'!B28</f>
        <v>127</v>
      </c>
      <c r="F13" s="755"/>
      <c r="G13" s="759"/>
    </row>
    <row r="14" spans="1:25" s="2081" customFormat="1" ht="13.5" customHeight="1">
      <c r="A14" s="2388" t="s">
        <v>2437</v>
      </c>
      <c r="B14" s="2394" t="s">
        <v>2440</v>
      </c>
      <c r="C14" s="2392"/>
      <c r="D14" s="758"/>
      <c r="E14" s="757"/>
      <c r="F14" s="2393"/>
      <c r="G14" s="2396" t="s">
        <v>2445</v>
      </c>
    </row>
    <row r="15" spans="1:25" s="2081" customFormat="1" ht="13.5" customHeight="1">
      <c r="A15" s="2388" t="s">
        <v>2442</v>
      </c>
      <c r="B15" s="2394" t="s">
        <v>2441</v>
      </c>
      <c r="C15" s="2392"/>
      <c r="D15" s="758"/>
      <c r="E15" s="757"/>
      <c r="F15" s="2393"/>
      <c r="G15" s="2396" t="s">
        <v>2446</v>
      </c>
    </row>
    <row r="16" spans="1:25" s="2082" customFormat="1" ht="48">
      <c r="A16" s="2388">
        <v>3</v>
      </c>
      <c r="B16" s="748" t="s">
        <v>613</v>
      </c>
      <c r="C16" s="2392"/>
      <c r="D16" s="760"/>
      <c r="E16" s="749"/>
      <c r="F16" s="761"/>
      <c r="G16" s="759" t="s">
        <v>2448</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9">
        <v>4</v>
      </c>
      <c r="B17" s="748" t="s">
        <v>614</v>
      </c>
      <c r="C17" s="249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00"/>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9">
        <v>5</v>
      </c>
      <c r="B18" s="748" t="s">
        <v>615</v>
      </c>
      <c r="C18" s="749">
        <f>ROUND((C7+C10+C16)*F18,0)</f>
        <v>0</v>
      </c>
      <c r="D18" s="762"/>
      <c r="E18" s="763"/>
      <c r="F18" s="761">
        <f>'数据-取费表'!Q16</f>
        <v>0.15</v>
      </c>
      <c r="G18" s="765" t="s">
        <v>616</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8">
        <v>6</v>
      </c>
      <c r="B19" s="748" t="s">
        <v>617</v>
      </c>
      <c r="C19" s="749">
        <f ca="1">C7+C10+C16+C17+C18</f>
        <v>0</v>
      </c>
      <c r="D19" s="760"/>
      <c r="E19" s="749"/>
      <c r="F19" s="761"/>
      <c r="G19" s="765" t="s">
        <v>618</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8">
        <v>7</v>
      </c>
      <c r="B20" s="748" t="s">
        <v>619</v>
      </c>
      <c r="C20" s="749">
        <f ca="1">ROUND(C19*F20,0)</f>
        <v>0</v>
      </c>
      <c r="D20" s="760"/>
      <c r="E20" s="749"/>
      <c r="F20" s="1349"/>
      <c r="G20" s="765" t="s">
        <v>620</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8">
        <v>8</v>
      </c>
      <c r="B21" s="748" t="s">
        <v>621</v>
      </c>
      <c r="C21" s="749">
        <f ca="1">C19+C20</f>
        <v>0</v>
      </c>
      <c r="D21" s="760"/>
      <c r="E21" s="749"/>
      <c r="F21" s="761"/>
      <c r="G21" s="765" t="s">
        <v>622</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8">
        <v>9</v>
      </c>
      <c r="B22" s="748" t="s">
        <v>623</v>
      </c>
      <c r="C22" s="749">
        <f ca="1">ROUND(C21*F22,0)</f>
        <v>0</v>
      </c>
      <c r="D22" s="760"/>
      <c r="E22" s="749"/>
      <c r="F22" s="766">
        <f>'数据-取费表'!AP16</f>
        <v>0.91800000000000004</v>
      </c>
      <c r="G22" s="765" t="s">
        <v>624</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90">
        <v>10</v>
      </c>
      <c r="B23" s="767" t="s">
        <v>625</v>
      </c>
      <c r="C23" s="768">
        <f ca="1">C22</f>
        <v>0</v>
      </c>
      <c r="D23" s="769"/>
      <c r="E23" s="768"/>
      <c r="F23" s="770"/>
      <c r="G23" s="771"/>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4" zoomScaleNormal="80" zoomScaleSheetLayoutView="100" workbookViewId="0">
      <selection activeCell="F65" sqref="F6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542" t="s">
        <v>717</v>
      </c>
      <c r="C1" s="2543" t="s">
        <v>718</v>
      </c>
      <c r="D1" s="2544" t="s">
        <v>3114</v>
      </c>
      <c r="E1" s="2545"/>
      <c r="F1" s="2722" t="s">
        <v>3169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541">
        <f>ROUND(B3*D3/10000,0)</f>
        <v>197664</v>
      </c>
      <c r="C2" s="2025"/>
      <c r="D2" s="2025"/>
      <c r="E2" s="2025"/>
      <c r="F2" s="2099"/>
      <c r="G2" s="2025"/>
      <c r="H2" s="2025"/>
      <c r="I2" s="2025"/>
      <c r="J2" s="2025"/>
      <c r="K2" s="2100"/>
      <c r="L2" s="2101"/>
      <c r="M2" s="2102"/>
      <c r="N2" s="2102"/>
      <c r="O2" s="2102"/>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12811</v>
      </c>
      <c r="C3" s="852" t="s">
        <v>720</v>
      </c>
      <c r="D3" s="851">
        <f>SUMIF('数据-汇总表'!$C19:$C33,D1,'数据-汇总表'!$E19:$E33)</f>
        <v>154292.6</v>
      </c>
      <c r="E3" s="2025"/>
      <c r="F3" s="2099"/>
      <c r="G3" s="2025"/>
      <c r="H3" s="2025"/>
      <c r="I3" s="3321" t="s">
        <v>3209</v>
      </c>
      <c r="J3" s="2025"/>
      <c r="K3" s="2100"/>
      <c r="L3" s="2101"/>
      <c r="M3" s="2102"/>
      <c r="N3" s="2102"/>
      <c r="O3" s="2102"/>
      <c r="P3" s="1603"/>
      <c r="Q3" s="1603"/>
      <c r="R3" s="1603"/>
      <c r="S3" s="1603"/>
      <c r="T3" s="1603"/>
      <c r="U3" s="1603"/>
      <c r="V3" s="1603"/>
      <c r="W3" s="1603"/>
      <c r="X3" s="1603"/>
      <c r="Y3" s="1603"/>
      <c r="Z3" s="1603"/>
      <c r="AA3" s="1603"/>
      <c r="AB3" s="1603"/>
      <c r="AC3" s="1605"/>
    </row>
    <row r="4" spans="1:29" ht="15">
      <c r="A4" s="512" t="s">
        <v>519</v>
      </c>
      <c r="B4" s="513"/>
      <c r="C4" s="3556" t="s">
        <v>520</v>
      </c>
      <c r="D4" s="3557"/>
      <c r="E4" s="3579" t="s">
        <v>521</v>
      </c>
      <c r="F4" s="3580"/>
      <c r="G4" s="3556" t="s">
        <v>522</v>
      </c>
      <c r="H4" s="3557"/>
      <c r="I4" s="3556" t="s">
        <v>523</v>
      </c>
      <c r="J4" s="3557"/>
      <c r="K4" s="853" t="s">
        <v>524</v>
      </c>
      <c r="L4" s="2031"/>
      <c r="M4" s="2032"/>
      <c r="N4" s="2032"/>
      <c r="O4" s="2032"/>
      <c r="P4" s="3558" t="s">
        <v>525</v>
      </c>
      <c r="Q4" s="3559"/>
      <c r="R4" s="3544" t="s">
        <v>521</v>
      </c>
      <c r="S4" s="3545"/>
      <c r="T4" s="3544" t="s">
        <v>522</v>
      </c>
      <c r="U4" s="3545"/>
      <c r="V4" s="3564" t="s">
        <v>523</v>
      </c>
      <c r="W4" s="3564"/>
      <c r="X4" s="1568"/>
      <c r="Y4" s="3544" t="s">
        <v>525</v>
      </c>
      <c r="Z4" s="3545"/>
      <c r="AA4" s="3539" t="s">
        <v>521</v>
      </c>
      <c r="AB4" s="3539" t="s">
        <v>522</v>
      </c>
      <c r="AC4" s="3539" t="s">
        <v>523</v>
      </c>
    </row>
    <row r="5" spans="1:29" ht="15">
      <c r="A5" s="515"/>
      <c r="B5" s="516"/>
      <c r="C5" s="3652" t="s">
        <v>3160</v>
      </c>
      <c r="D5" s="3568"/>
      <c r="E5" s="3651" t="s">
        <v>3122</v>
      </c>
      <c r="F5" s="3582"/>
      <c r="G5" s="3567" t="s">
        <v>3170</v>
      </c>
      <c r="H5" s="3568"/>
      <c r="I5" s="3567" t="s">
        <v>3125</v>
      </c>
      <c r="J5" s="3568"/>
      <c r="K5" s="854"/>
      <c r="L5" s="2031"/>
      <c r="M5" s="2032"/>
      <c r="N5" s="2032"/>
      <c r="O5" s="2032"/>
      <c r="P5" s="3560"/>
      <c r="Q5" s="3561"/>
      <c r="R5" s="3546"/>
      <c r="S5" s="3547"/>
      <c r="T5" s="3546"/>
      <c r="U5" s="3547"/>
      <c r="V5" s="3564"/>
      <c r="W5" s="3564"/>
      <c r="X5" s="1568"/>
      <c r="Y5" s="3546"/>
      <c r="Z5" s="3547"/>
      <c r="AA5" s="3540"/>
      <c r="AB5" s="3540"/>
      <c r="AC5" s="3540"/>
    </row>
    <row r="6" spans="1:29" ht="15.75" thickBot="1">
      <c r="A6" s="517"/>
      <c r="B6" s="518"/>
      <c r="C6" s="3653" t="s">
        <v>3123</v>
      </c>
      <c r="D6" s="3585"/>
      <c r="E6" s="3654" t="s">
        <v>3123</v>
      </c>
      <c r="F6" s="3587"/>
      <c r="G6" s="3653" t="s">
        <v>3124</v>
      </c>
      <c r="H6" s="3585"/>
      <c r="I6" s="3653" t="s">
        <v>3173</v>
      </c>
      <c r="J6" s="3585"/>
      <c r="K6" s="854" t="s">
        <v>526</v>
      </c>
      <c r="L6" s="2031"/>
      <c r="M6" s="2032"/>
      <c r="N6" s="2032"/>
      <c r="O6" s="2032"/>
      <c r="P6" s="3562"/>
      <c r="Q6" s="3563"/>
      <c r="R6" s="3546"/>
      <c r="S6" s="3547"/>
      <c r="T6" s="3548"/>
      <c r="U6" s="3549"/>
      <c r="V6" s="3564"/>
      <c r="W6" s="3564"/>
      <c r="X6" s="1568"/>
      <c r="Y6" s="3548"/>
      <c r="Z6" s="3549"/>
      <c r="AA6" s="3541"/>
      <c r="AB6" s="3541"/>
      <c r="AC6" s="3541"/>
    </row>
    <row r="7" spans="1:29" s="1220" customFormat="1" ht="15.75" thickBot="1">
      <c r="A7" s="2827"/>
      <c r="B7" s="2834" t="s">
        <v>527</v>
      </c>
      <c r="C7" s="519">
        <f>'数据-取费表'!B2</f>
        <v>43095</v>
      </c>
      <c r="D7" s="520">
        <v>100</v>
      </c>
      <c r="E7" s="521">
        <v>43040</v>
      </c>
      <c r="F7" s="522">
        <f>SUMIF(58:58,YEAR(E7)&amp;"-"&amp;MONTH(E7),59:59)</f>
        <v>100</v>
      </c>
      <c r="G7" s="523">
        <v>42887</v>
      </c>
      <c r="H7" s="520">
        <f>SUMIF(58:58,YEAR(G7)&amp;"-"&amp;MONTH(G7),59:59)</f>
        <v>98</v>
      </c>
      <c r="I7" s="523">
        <v>43070</v>
      </c>
      <c r="J7" s="520">
        <f>SUMIF(58:58,YEAR(I7)&amp;"-"&amp;MONTH(I7),59:59)</f>
        <v>100</v>
      </c>
      <c r="K7" s="855"/>
      <c r="L7" s="2033"/>
      <c r="M7" s="2034"/>
      <c r="N7" s="2034"/>
      <c r="O7" s="2034"/>
      <c r="P7" s="3542" t="s">
        <v>528</v>
      </c>
      <c r="Q7" s="3551"/>
      <c r="R7" s="1569" t="s">
        <v>13</v>
      </c>
      <c r="S7" s="1570">
        <f t="shared" ref="S7:S15" si="0">F7</f>
        <v>100</v>
      </c>
      <c r="T7" s="1569" t="s">
        <v>13</v>
      </c>
      <c r="U7" s="1570">
        <f t="shared" ref="U7:U15" si="1">H7</f>
        <v>98</v>
      </c>
      <c r="V7" s="1569" t="s">
        <v>13</v>
      </c>
      <c r="W7" s="1570">
        <f t="shared" ref="W7:W15" si="2">J7</f>
        <v>100</v>
      </c>
      <c r="X7" s="1571"/>
      <c r="Y7" s="3542" t="s">
        <v>528</v>
      </c>
      <c r="Z7" s="3543"/>
      <c r="AA7" s="1572">
        <f>D7/F7</f>
        <v>1</v>
      </c>
      <c r="AB7" s="1572">
        <f>D7/H7</f>
        <v>1.0204081632653061</v>
      </c>
      <c r="AC7" s="1572">
        <f>D7/J7</f>
        <v>1</v>
      </c>
    </row>
    <row r="8" spans="1:29" s="1220" customFormat="1" ht="15.75" thickBot="1">
      <c r="A8" s="2828"/>
      <c r="B8" s="2835" t="s">
        <v>529</v>
      </c>
      <c r="C8" s="525" t="s">
        <v>574</v>
      </c>
      <c r="D8" s="520">
        <v>100</v>
      </c>
      <c r="E8" s="856" t="s">
        <v>3126</v>
      </c>
      <c r="F8" s="522">
        <f>SUMIF(61:61,E8,62:62)-SUMIF(61:61,C8,62:62)+100</f>
        <v>100</v>
      </c>
      <c r="G8" s="525" t="s">
        <v>3126</v>
      </c>
      <c r="H8" s="520">
        <f>SUMIF(61:61,G8,62:62)-SUMIF(61:61,C8,62:62)+100</f>
        <v>100</v>
      </c>
      <c r="I8" s="856" t="s">
        <v>3126</v>
      </c>
      <c r="J8" s="520">
        <f>SUMIF(61:61,I8,62:62)-SUMIF(61:61,C8,62:62)+100</f>
        <v>100</v>
      </c>
      <c r="K8" s="855"/>
      <c r="L8" s="2033"/>
      <c r="M8" s="2034"/>
      <c r="N8" s="2034"/>
      <c r="O8" s="2034"/>
      <c r="P8" s="3542" t="s">
        <v>531</v>
      </c>
      <c r="Q8" s="3543"/>
      <c r="R8" s="1569" t="s">
        <v>13</v>
      </c>
      <c r="S8" s="1570">
        <f t="shared" si="0"/>
        <v>100</v>
      </c>
      <c r="T8" s="1569" t="s">
        <v>13</v>
      </c>
      <c r="U8" s="1570">
        <f t="shared" si="1"/>
        <v>100</v>
      </c>
      <c r="V8" s="1569" t="s">
        <v>13</v>
      </c>
      <c r="W8" s="1570">
        <f t="shared" si="2"/>
        <v>100</v>
      </c>
      <c r="X8" s="1571"/>
      <c r="Y8" s="3542" t="s">
        <v>531</v>
      </c>
      <c r="Z8" s="3543"/>
      <c r="AA8" s="1572">
        <f t="shared" ref="AA8:AA46" si="3">D8/F8</f>
        <v>1</v>
      </c>
      <c r="AB8" s="1572">
        <f t="shared" ref="AB8:AB46" si="4">D8/H8</f>
        <v>1</v>
      </c>
      <c r="AC8" s="1572">
        <f t="shared" ref="AC8:AC46" si="5">D8/J8</f>
        <v>1</v>
      </c>
    </row>
    <row r="9" spans="1:29" s="1220" customFormat="1" ht="15">
      <c r="A9" s="2829"/>
      <c r="B9" s="2836" t="s">
        <v>2755</v>
      </c>
      <c r="C9" s="3305" t="s">
        <v>3127</v>
      </c>
      <c r="D9" s="254">
        <v>100</v>
      </c>
      <c r="E9" s="858" t="s">
        <v>921</v>
      </c>
      <c r="F9" s="859">
        <f>SUMIF(63:63,E9,64:64)-SUMIF(63:63,C9,64:64)+100</f>
        <v>100</v>
      </c>
      <c r="G9" s="860" t="s">
        <v>921</v>
      </c>
      <c r="H9" s="254">
        <f>SUMIF(63:63,G9,64:64)-SUMIF(63:63,C9,64:64)+100</f>
        <v>100</v>
      </c>
      <c r="I9" s="860" t="s">
        <v>921</v>
      </c>
      <c r="J9" s="254">
        <f>SUMIF(63:63,I9,64:64)-SUMIF(63:63,C9,64:64)+100</f>
        <v>100</v>
      </c>
      <c r="K9" s="855"/>
      <c r="L9" s="2033"/>
      <c r="M9" s="2034"/>
      <c r="N9" s="2034"/>
      <c r="O9" s="2035"/>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t="s">
        <v>3158</v>
      </c>
      <c r="D10" s="255">
        <v>100</v>
      </c>
      <c r="E10" s="861" t="s">
        <v>3158</v>
      </c>
      <c r="F10" s="863">
        <f>SUMIF(65:65,E10,66:66)-SUMIF(65:65,C10,66:66)+100</f>
        <v>100</v>
      </c>
      <c r="G10" s="861" t="s">
        <v>3158</v>
      </c>
      <c r="H10" s="255">
        <f>SUMIF(65:65,G10,66:66)-SUMIF(65:65,C10,66:66)+100</f>
        <v>100</v>
      </c>
      <c r="I10" s="861" t="s">
        <v>3158</v>
      </c>
      <c r="J10" s="255">
        <f>SUMIF(65:65,I10,66:66)-SUMIF(65:65,C10,66:66)+100</f>
        <v>100</v>
      </c>
      <c r="K10" s="864">
        <v>0.5</v>
      </c>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75" thickBot="1">
      <c r="A11" s="2831"/>
      <c r="B11" s="2835" t="s">
        <v>2757</v>
      </c>
      <c r="C11" s="533">
        <f>'数据-汇总表'!I6</f>
        <v>1.4</v>
      </c>
      <c r="D11" s="255">
        <v>100</v>
      </c>
      <c r="E11" s="534">
        <v>1.54</v>
      </c>
      <c r="F11" s="863">
        <f>LOOKUP(E11,68:68,69:69)-LOOKUP(C11,68:68,69:69)+100</f>
        <v>98</v>
      </c>
      <c r="G11" s="533">
        <v>1.1000000000000001</v>
      </c>
      <c r="H11" s="255">
        <f>LOOKUP(G11,68:68,69:69)-LOOKUP(C11,68:68,69:69)+100</f>
        <v>100</v>
      </c>
      <c r="I11" s="533">
        <v>1</v>
      </c>
      <c r="J11" s="255">
        <f>LOOKUP(I11,68:68,69:69)-LOOKUP(C11,68:68,69:69)+100</f>
        <v>100</v>
      </c>
      <c r="K11" s="864">
        <v>2</v>
      </c>
      <c r="L11" s="2038"/>
      <c r="M11" s="2032"/>
      <c r="N11" s="2032"/>
      <c r="O11" s="2039"/>
      <c r="P11" s="3550"/>
      <c r="Q11" s="1151" t="str">
        <f t="shared" si="6"/>
        <v>容积率</v>
      </c>
      <c r="R11" s="1569" t="s">
        <v>11</v>
      </c>
      <c r="S11" s="1570">
        <f t="shared" si="0"/>
        <v>98</v>
      </c>
      <c r="T11" s="1569" t="s">
        <v>11</v>
      </c>
      <c r="U11" s="1570">
        <f t="shared" si="1"/>
        <v>100</v>
      </c>
      <c r="V11" s="1569" t="s">
        <v>11</v>
      </c>
      <c r="W11" s="1570">
        <f t="shared" si="2"/>
        <v>100</v>
      </c>
      <c r="X11" s="1571"/>
      <c r="Y11" s="3507"/>
      <c r="Z11" s="1150" t="str">
        <f t="shared" si="7"/>
        <v>容积率</v>
      </c>
      <c r="AA11" s="1572">
        <f t="shared" si="3"/>
        <v>1.0204081632653061</v>
      </c>
      <c r="AB11" s="1572">
        <f t="shared" si="4"/>
        <v>1</v>
      </c>
      <c r="AC11" s="1572">
        <f t="shared" si="5"/>
        <v>1</v>
      </c>
    </row>
    <row r="12" spans="1:29" s="1220" customFormat="1" ht="15" hidden="1">
      <c r="A12" s="2832"/>
      <c r="B12" s="2838"/>
      <c r="C12" s="528"/>
      <c r="D12" s="538">
        <v>100</v>
      </c>
      <c r="E12" s="528"/>
      <c r="F12" s="863">
        <f>SUMIF(70:70,E12,71:71)-SUMIF(70:70,C12,71:71)+100</f>
        <v>100</v>
      </c>
      <c r="G12" s="528"/>
      <c r="H12" s="255">
        <f>SUMIF(70:70,G12,71:71)-SUMIF(70:70,C12,71:71)+100</f>
        <v>100</v>
      </c>
      <c r="I12" s="528"/>
      <c r="J12" s="255">
        <f>SUMIF(70:70,I12,71:71)-SUMIF(70:70,C12,71:71)+100</f>
        <v>100</v>
      </c>
      <c r="K12" s="865"/>
      <c r="L12" s="2033"/>
      <c r="M12" s="2034"/>
      <c r="N12" s="2034"/>
      <c r="O12" s="2035"/>
      <c r="P12" s="3550"/>
      <c r="Q12" s="1151">
        <f t="shared" si="6"/>
        <v>0</v>
      </c>
      <c r="R12" s="1569" t="s">
        <v>11</v>
      </c>
      <c r="S12" s="1570">
        <f t="shared" si="0"/>
        <v>100</v>
      </c>
      <c r="T12" s="1569" t="s">
        <v>11</v>
      </c>
      <c r="U12" s="1570">
        <f t="shared" si="1"/>
        <v>100</v>
      </c>
      <c r="V12" s="1569" t="s">
        <v>11</v>
      </c>
      <c r="W12" s="1570">
        <f t="shared" si="2"/>
        <v>100</v>
      </c>
      <c r="X12" s="1571"/>
      <c r="Y12" s="3507"/>
      <c r="Z12" s="1150">
        <f t="shared" si="7"/>
        <v>0</v>
      </c>
      <c r="AA12" s="1572">
        <f>D12/F12</f>
        <v>1</v>
      </c>
      <c r="AB12" s="1572">
        <f>D12/H12</f>
        <v>1</v>
      </c>
      <c r="AC12" s="1572">
        <f>D12/J12</f>
        <v>1</v>
      </c>
    </row>
    <row r="13" spans="1:29" ht="15" hidden="1">
      <c r="A13" s="2832"/>
      <c r="B13" s="2838"/>
      <c r="C13" s="539"/>
      <c r="D13" s="540">
        <v>100</v>
      </c>
      <c r="E13" s="539"/>
      <c r="F13" s="863">
        <f>SUMIF(72:72,E13,73:73)-SUMIF(72:72,C13,73:73)+100</f>
        <v>100</v>
      </c>
      <c r="G13" s="539"/>
      <c r="H13" s="540">
        <f>SUMIF(72:72,G13,73:73)-SUMIF(72:72,C13,73:73)+100</f>
        <v>100</v>
      </c>
      <c r="I13" s="539"/>
      <c r="J13" s="540">
        <f>SUMIF(72:72,I13,73:73)-SUMIF(72:72,C13,73:73)+100</f>
        <v>100</v>
      </c>
      <c r="K13" s="865"/>
      <c r="L13" s="2040"/>
      <c r="M13" s="2032"/>
      <c r="N13" s="2032"/>
      <c r="O13" s="2039"/>
      <c r="P13" s="3550"/>
      <c r="Q13" s="1151">
        <f t="shared" si="6"/>
        <v>0</v>
      </c>
      <c r="R13" s="1569" t="s">
        <v>11</v>
      </c>
      <c r="S13" s="1570">
        <f t="shared" si="0"/>
        <v>100</v>
      </c>
      <c r="T13" s="1569" t="s">
        <v>11</v>
      </c>
      <c r="U13" s="1570">
        <f t="shared" si="1"/>
        <v>100</v>
      </c>
      <c r="V13" s="1569" t="s">
        <v>11</v>
      </c>
      <c r="W13" s="1570">
        <f t="shared" si="2"/>
        <v>100</v>
      </c>
      <c r="X13" s="1571"/>
      <c r="Y13" s="3507"/>
      <c r="Z13" s="1150">
        <f t="shared" si="7"/>
        <v>0</v>
      </c>
      <c r="AA13" s="1572">
        <f t="shared" si="3"/>
        <v>1</v>
      </c>
      <c r="AB13" s="1572">
        <f t="shared" si="4"/>
        <v>1</v>
      </c>
      <c r="AC13" s="1572">
        <f t="shared" si="5"/>
        <v>1</v>
      </c>
    </row>
    <row r="14" spans="1:29" ht="15.75" hidden="1" thickBot="1">
      <c r="A14" s="2833"/>
      <c r="B14" s="2839"/>
      <c r="C14" s="545"/>
      <c r="D14" s="546">
        <v>100</v>
      </c>
      <c r="E14" s="545"/>
      <c r="F14" s="866">
        <f>SUMIF(74:74,E14,75:75)-SUMIF(74:74,C14,75:75)+100</f>
        <v>100</v>
      </c>
      <c r="G14" s="545"/>
      <c r="H14" s="546">
        <f>SUMIF(74:74,G14,75:75)-SUMIF(74:74,C14,75:75)+100</f>
        <v>100</v>
      </c>
      <c r="I14" s="545"/>
      <c r="J14" s="546">
        <f>SUMIF(74:74,I14,75:75)-SUMIF(74:74,C14,75:75)+100</f>
        <v>100</v>
      </c>
      <c r="K14" s="865"/>
      <c r="L14" s="2040"/>
      <c r="M14" s="2032"/>
      <c r="N14" s="2032"/>
      <c r="O14" s="2039"/>
      <c r="P14" s="3550"/>
      <c r="Q14" s="1151">
        <f t="shared" si="6"/>
        <v>0</v>
      </c>
      <c r="R14" s="1569" t="s">
        <v>11</v>
      </c>
      <c r="S14" s="1570">
        <f t="shared" si="0"/>
        <v>100</v>
      </c>
      <c r="T14" s="1569" t="s">
        <v>11</v>
      </c>
      <c r="U14" s="1570">
        <f t="shared" si="1"/>
        <v>100</v>
      </c>
      <c r="V14" s="1569" t="s">
        <v>11</v>
      </c>
      <c r="W14" s="1570">
        <f t="shared" si="2"/>
        <v>100</v>
      </c>
      <c r="X14" s="1571"/>
      <c r="Y14" s="3507"/>
      <c r="Z14" s="1150">
        <f t="shared" si="7"/>
        <v>0</v>
      </c>
      <c r="AA14" s="1572">
        <f t="shared" si="3"/>
        <v>1</v>
      </c>
      <c r="AB14" s="1572">
        <f t="shared" si="4"/>
        <v>1</v>
      </c>
      <c r="AC14" s="1572">
        <f t="shared" si="5"/>
        <v>1</v>
      </c>
    </row>
    <row r="15" spans="1:29" ht="15">
      <c r="A15" s="2825"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95</v>
      </c>
      <c r="K15" s="868">
        <v>5</v>
      </c>
      <c r="L15" s="2040"/>
      <c r="M15" s="2032"/>
      <c r="N15" s="2032"/>
      <c r="O15" s="2039"/>
      <c r="P15" s="3552" t="s">
        <v>538</v>
      </c>
      <c r="Q15" s="1573" t="str">
        <f t="shared" si="6"/>
        <v>居住社区成熟度</v>
      </c>
      <c r="R15" s="1574" t="s">
        <v>11</v>
      </c>
      <c r="S15" s="1575">
        <f t="shared" si="0"/>
        <v>100</v>
      </c>
      <c r="T15" s="1574" t="s">
        <v>11</v>
      </c>
      <c r="U15" s="1575">
        <f t="shared" si="1"/>
        <v>100</v>
      </c>
      <c r="V15" s="1574" t="s">
        <v>11</v>
      </c>
      <c r="W15" s="1575">
        <f t="shared" si="2"/>
        <v>95</v>
      </c>
      <c r="X15" s="1568"/>
      <c r="Y15" s="3552" t="s">
        <v>538</v>
      </c>
      <c r="Z15" s="1576" t="str">
        <f t="shared" si="7"/>
        <v>居住社区成熟度</v>
      </c>
      <c r="AA15" s="1577">
        <f t="shared" si="3"/>
        <v>1</v>
      </c>
      <c r="AB15" s="1577">
        <f t="shared" si="4"/>
        <v>1</v>
      </c>
      <c r="AC15" s="1577">
        <f t="shared" si="5"/>
        <v>1.0526315789473684</v>
      </c>
    </row>
    <row r="16" spans="1:29" ht="15">
      <c r="A16" s="532"/>
      <c r="B16" s="869"/>
      <c r="C16" s="576" t="s">
        <v>3161</v>
      </c>
      <c r="D16" s="555"/>
      <c r="E16" s="556" t="s">
        <v>3161</v>
      </c>
      <c r="F16" s="557"/>
      <c r="G16" s="558" t="s">
        <v>3161</v>
      </c>
      <c r="H16" s="559"/>
      <c r="I16" s="556" t="s">
        <v>3162</v>
      </c>
      <c r="J16" s="555"/>
      <c r="K16" s="870"/>
      <c r="L16" s="2040"/>
      <c r="M16" s="2032"/>
      <c r="N16" s="2032"/>
      <c r="O16" s="2039"/>
      <c r="P16" s="3553"/>
      <c r="Q16" s="1573"/>
      <c r="R16" s="1574"/>
      <c r="S16" s="1575"/>
      <c r="T16" s="1574"/>
      <c r="U16" s="1575"/>
      <c r="V16" s="1574"/>
      <c r="W16" s="1575"/>
      <c r="X16" s="1568"/>
      <c r="Y16" s="3553"/>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2</v>
      </c>
      <c r="L17" s="2040"/>
      <c r="M17" s="2032"/>
      <c r="N17" s="2032"/>
      <c r="O17" s="2039"/>
      <c r="P17" s="3553"/>
      <c r="Q17" s="1573" t="str">
        <f>B17</f>
        <v>交通便捷度</v>
      </c>
      <c r="R17" s="1574" t="s">
        <v>11</v>
      </c>
      <c r="S17" s="1575">
        <f>F17</f>
        <v>100</v>
      </c>
      <c r="T17" s="1574" t="s">
        <v>11</v>
      </c>
      <c r="U17" s="1575">
        <f>H17</f>
        <v>100</v>
      </c>
      <c r="V17" s="1574" t="s">
        <v>11</v>
      </c>
      <c r="W17" s="1575">
        <f>J17</f>
        <v>100</v>
      </c>
      <c r="X17" s="1568"/>
      <c r="Y17" s="3553"/>
      <c r="Z17" s="1576" t="str">
        <f>Q17</f>
        <v>交通便捷度</v>
      </c>
      <c r="AA17" s="1577">
        <f t="shared" si="3"/>
        <v>1</v>
      </c>
      <c r="AB17" s="1577">
        <f t="shared" si="4"/>
        <v>1</v>
      </c>
      <c r="AC17" s="1577">
        <f t="shared" si="5"/>
        <v>1</v>
      </c>
    </row>
    <row r="18" spans="1:29" ht="15">
      <c r="A18" s="532"/>
      <c r="B18" s="595"/>
      <c r="C18" s="873" t="s">
        <v>3162</v>
      </c>
      <c r="D18" s="559"/>
      <c r="E18" s="568" t="s">
        <v>3162</v>
      </c>
      <c r="F18" s="563"/>
      <c r="G18" s="569" t="s">
        <v>3162</v>
      </c>
      <c r="H18" s="555"/>
      <c r="I18" s="568" t="s">
        <v>3162</v>
      </c>
      <c r="J18" s="555"/>
      <c r="K18" s="870"/>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040"/>
      <c r="M19" s="2032"/>
      <c r="N19" s="2032"/>
      <c r="O19" s="2039"/>
      <c r="P19" s="3553"/>
      <c r="Q19" s="1573" t="str">
        <f>B19</f>
        <v>公共配套设施</v>
      </c>
      <c r="R19" s="1574" t="s">
        <v>11</v>
      </c>
      <c r="S19" s="1575">
        <f>F19</f>
        <v>100</v>
      </c>
      <c r="T19" s="1574" t="s">
        <v>11</v>
      </c>
      <c r="U19" s="1575">
        <f>H19</f>
        <v>100</v>
      </c>
      <c r="V19" s="1574" t="s">
        <v>11</v>
      </c>
      <c r="W19" s="1575">
        <f>J19</f>
        <v>100</v>
      </c>
      <c r="X19" s="1568"/>
      <c r="Y19" s="3553"/>
      <c r="Z19" s="1576" t="str">
        <f>Q19</f>
        <v>公共配套设施</v>
      </c>
      <c r="AA19" s="1577">
        <f t="shared" si="3"/>
        <v>1</v>
      </c>
      <c r="AB19" s="1577">
        <f t="shared" si="4"/>
        <v>1</v>
      </c>
      <c r="AC19" s="1577">
        <f t="shared" si="5"/>
        <v>1</v>
      </c>
    </row>
    <row r="20" spans="1:29" ht="15">
      <c r="A20" s="532"/>
      <c r="B20" s="595"/>
      <c r="C20" s="576" t="s">
        <v>3162</v>
      </c>
      <c r="D20" s="555"/>
      <c r="E20" s="556" t="s">
        <v>3162</v>
      </c>
      <c r="F20" s="557"/>
      <c r="G20" s="558" t="s">
        <v>3162</v>
      </c>
      <c r="H20" s="555"/>
      <c r="I20" s="556" t="s">
        <v>3162</v>
      </c>
      <c r="J20" s="555"/>
      <c r="K20" s="870"/>
      <c r="L20" s="2040"/>
      <c r="M20" s="2032"/>
      <c r="N20" s="2032"/>
      <c r="O20" s="2039"/>
      <c r="P20" s="3553"/>
      <c r="Q20" s="1573"/>
      <c r="R20" s="1574"/>
      <c r="S20" s="1575"/>
      <c r="T20" s="1574"/>
      <c r="U20" s="1575"/>
      <c r="V20" s="1574"/>
      <c r="W20" s="1575"/>
      <c r="X20" s="1568"/>
      <c r="Y20" s="3553"/>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040"/>
      <c r="M21" s="2032"/>
      <c r="N21" s="2032"/>
      <c r="O21" s="2039"/>
      <c r="P21" s="3553"/>
      <c r="Q21" s="2498" t="str">
        <f>B21</f>
        <v>基础设施水平</v>
      </c>
      <c r="R21" s="1574" t="s">
        <v>11</v>
      </c>
      <c r="S21" s="1575">
        <f>F21</f>
        <v>100</v>
      </c>
      <c r="T21" s="1574" t="s">
        <v>11</v>
      </c>
      <c r="U21" s="1575">
        <f>H21</f>
        <v>100</v>
      </c>
      <c r="V21" s="1574" t="s">
        <v>11</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922"/>
      <c r="C22" s="873" t="s">
        <v>3147</v>
      </c>
      <c r="D22" s="555"/>
      <c r="E22" s="576" t="s">
        <v>3147</v>
      </c>
      <c r="F22" s="557"/>
      <c r="G22" s="576" t="s">
        <v>3147</v>
      </c>
      <c r="H22" s="555"/>
      <c r="I22" s="576" t="s">
        <v>3147</v>
      </c>
      <c r="J22" s="555"/>
      <c r="K22" s="2518"/>
      <c r="L22" s="2040"/>
      <c r="M22" s="2032"/>
      <c r="N22" s="2032"/>
      <c r="O22" s="2039"/>
      <c r="P22" s="3553"/>
      <c r="Q22" s="2498"/>
      <c r="R22" s="1574"/>
      <c r="S22" s="1575"/>
      <c r="T22" s="1574"/>
      <c r="U22" s="1575"/>
      <c r="V22" s="1574"/>
      <c r="W22" s="1575"/>
      <c r="X22" s="2500"/>
      <c r="Y22" s="3553"/>
      <c r="Z22" s="2499"/>
      <c r="AA22" s="1577">
        <v>1</v>
      </c>
      <c r="AB22" s="1577">
        <v>1</v>
      </c>
      <c r="AC22" s="157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95</v>
      </c>
      <c r="K23" s="868">
        <v>5</v>
      </c>
      <c r="L23" s="2040"/>
      <c r="M23" s="2032"/>
      <c r="N23" s="2032"/>
      <c r="O23" s="2039"/>
      <c r="P23" s="3553"/>
      <c r="Q23" s="1573" t="str">
        <f>B23</f>
        <v>自然及人文环境</v>
      </c>
      <c r="R23" s="1574" t="s">
        <v>11</v>
      </c>
      <c r="S23" s="1575">
        <f>F23</f>
        <v>100</v>
      </c>
      <c r="T23" s="1574" t="s">
        <v>11</v>
      </c>
      <c r="U23" s="1575">
        <f>H23</f>
        <v>100</v>
      </c>
      <c r="V23" s="1574" t="s">
        <v>11</v>
      </c>
      <c r="W23" s="1575">
        <f>J23</f>
        <v>95</v>
      </c>
      <c r="X23" s="1568"/>
      <c r="Y23" s="3553"/>
      <c r="Z23" s="1576" t="str">
        <f>Q23</f>
        <v>自然及人文环境</v>
      </c>
      <c r="AA23" s="1577">
        <f t="shared" si="3"/>
        <v>1</v>
      </c>
      <c r="AB23" s="1577">
        <f t="shared" si="4"/>
        <v>1</v>
      </c>
      <c r="AC23" s="1577">
        <f t="shared" si="5"/>
        <v>1.0526315789473684</v>
      </c>
    </row>
    <row r="24" spans="1:29" ht="15">
      <c r="A24" s="532"/>
      <c r="B24" s="595"/>
      <c r="C24" s="576" t="s">
        <v>3164</v>
      </c>
      <c r="D24" s="555"/>
      <c r="E24" s="556" t="s">
        <v>3164</v>
      </c>
      <c r="F24" s="557"/>
      <c r="G24" s="558" t="s">
        <v>3164</v>
      </c>
      <c r="H24" s="555"/>
      <c r="I24" s="556" t="s">
        <v>3161</v>
      </c>
      <c r="J24" s="555"/>
      <c r="K24" s="870"/>
      <c r="L24" s="2040"/>
      <c r="M24" s="2032"/>
      <c r="N24" s="2032"/>
      <c r="O24" s="2039"/>
      <c r="P24" s="3553"/>
      <c r="Q24" s="1573"/>
      <c r="R24" s="1574"/>
      <c r="S24" s="1575"/>
      <c r="T24" s="1574"/>
      <c r="U24" s="1575"/>
      <c r="V24" s="1574"/>
      <c r="W24" s="1575"/>
      <c r="X24" s="1568"/>
      <c r="Y24" s="3553"/>
      <c r="Z24" s="1576"/>
      <c r="AA24" s="1577">
        <v>1</v>
      </c>
      <c r="AB24" s="1577">
        <v>1</v>
      </c>
      <c r="AC24" s="1577">
        <v>1</v>
      </c>
    </row>
    <row r="25" spans="1:29" ht="15" hidden="1">
      <c r="A25" s="532"/>
      <c r="B25" s="1793" t="s">
        <v>2254</v>
      </c>
      <c r="C25" s="574"/>
      <c r="D25" s="540">
        <v>100</v>
      </c>
      <c r="E25" s="874"/>
      <c r="F25" s="575">
        <f>SUMIF(86:86,E25,87:87)-SUMIF(86:86,C25,87:87)+100</f>
        <v>100</v>
      </c>
      <c r="G25" s="599"/>
      <c r="H25" s="540">
        <f>SUMIF(86:86,G25,87:87)-SUMIF(86:86,C25,87:87)+100</f>
        <v>100</v>
      </c>
      <c r="I25" s="874"/>
      <c r="J25" s="540">
        <f>SUMIF(86:86,I25,87:87)-SUMIF(86:86,C25,87:87)+100</f>
        <v>100</v>
      </c>
      <c r="K25" s="864"/>
      <c r="L25" s="2040"/>
      <c r="M25" s="2032"/>
      <c r="N25" s="2032"/>
      <c r="O25" s="2039"/>
      <c r="P25" s="3553"/>
      <c r="Q25" s="1573" t="str">
        <f t="shared" ref="Q25:Q46" si="11">B25</f>
        <v>楼层-1</v>
      </c>
      <c r="R25" s="1574" t="s">
        <v>11</v>
      </c>
      <c r="S25" s="1575">
        <f>F25</f>
        <v>100</v>
      </c>
      <c r="T25" s="1574" t="s">
        <v>11</v>
      </c>
      <c r="U25" s="1575">
        <f>H25</f>
        <v>100</v>
      </c>
      <c r="V25" s="1574" t="s">
        <v>11</v>
      </c>
      <c r="W25" s="1575">
        <f>J25</f>
        <v>100</v>
      </c>
      <c r="X25" s="1568"/>
      <c r="Y25" s="3553"/>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040"/>
      <c r="M26" s="2032"/>
      <c r="N26" s="2032"/>
      <c r="O26" s="2039"/>
      <c r="P26" s="3553"/>
      <c r="Q26" s="1573" t="str">
        <f t="shared" si="11"/>
        <v>朝向</v>
      </c>
      <c r="R26" s="1574" t="s">
        <v>11</v>
      </c>
      <c r="S26" s="1575">
        <f>F26</f>
        <v>100</v>
      </c>
      <c r="T26" s="1574" t="s">
        <v>11</v>
      </c>
      <c r="U26" s="1575">
        <f>H26</f>
        <v>100</v>
      </c>
      <c r="V26" s="1574" t="s">
        <v>11</v>
      </c>
      <c r="W26" s="1575">
        <f>J26</f>
        <v>100</v>
      </c>
      <c r="X26" s="1568"/>
      <c r="Y26" s="3553"/>
      <c r="Z26" s="1576" t="str">
        <f>Q26</f>
        <v>朝向</v>
      </c>
      <c r="AA26" s="1577">
        <f t="shared" si="3"/>
        <v>1</v>
      </c>
      <c r="AB26" s="1577">
        <f t="shared" si="4"/>
        <v>1</v>
      </c>
      <c r="AC26" s="1577">
        <f t="shared" si="5"/>
        <v>1</v>
      </c>
    </row>
    <row r="27" spans="1:29" s="1220" customFormat="1" ht="15">
      <c r="A27" s="536"/>
      <c r="B27" s="537" t="s">
        <v>722</v>
      </c>
      <c r="C27" s="3309" t="s">
        <v>3132</v>
      </c>
      <c r="D27" s="875">
        <v>100</v>
      </c>
      <c r="E27" s="3310" t="s">
        <v>3132</v>
      </c>
      <c r="F27" s="876">
        <f>SUMIF(90:90,E27,91:91)-SUMIF(90:90,C27,91:91)+100</f>
        <v>100</v>
      </c>
      <c r="G27" s="3311" t="s">
        <v>3131</v>
      </c>
      <c r="H27" s="875">
        <f>SUMIF(90:90,G27,91:91)-SUMIF(90:90,C27,91:91)+100</f>
        <v>102</v>
      </c>
      <c r="I27" s="3310" t="s">
        <v>3131</v>
      </c>
      <c r="J27" s="875">
        <f>SUMIF(90:90,I27,91:91)-SUMIF(90:90,C27,91:91)+100</f>
        <v>102</v>
      </c>
      <c r="K27" s="865"/>
      <c r="L27" s="2033"/>
      <c r="M27" s="2034"/>
      <c r="N27" s="2034"/>
      <c r="O27" s="2035"/>
      <c r="P27" s="3553"/>
      <c r="Q27" s="1151" t="str">
        <f t="shared" si="11"/>
        <v>道路级别</v>
      </c>
      <c r="R27" s="1569" t="s">
        <v>11</v>
      </c>
      <c r="S27" s="1570">
        <f>F27</f>
        <v>100</v>
      </c>
      <c r="T27" s="1569" t="s">
        <v>11</v>
      </c>
      <c r="U27" s="1570">
        <f>H27</f>
        <v>102</v>
      </c>
      <c r="V27" s="1569" t="s">
        <v>11</v>
      </c>
      <c r="W27" s="1570">
        <f>J27</f>
        <v>102</v>
      </c>
      <c r="X27" s="1571"/>
      <c r="Y27" s="3553"/>
      <c r="Z27" s="1150" t="str">
        <f>Q27</f>
        <v>道路级别</v>
      </c>
      <c r="AA27" s="1577">
        <f>D27/F27</f>
        <v>1</v>
      </c>
      <c r="AB27" s="1577">
        <f>D27/H27</f>
        <v>0.98039215686274506</v>
      </c>
      <c r="AC27" s="1577">
        <f>D27/J27</f>
        <v>0.98039215686274506</v>
      </c>
    </row>
    <row r="28" spans="1:29" ht="15">
      <c r="A28" s="532"/>
      <c r="B28" s="3308" t="s">
        <v>3155</v>
      </c>
      <c r="C28" s="3309" t="str">
        <f>D92</f>
        <v>5公里及以上</v>
      </c>
      <c r="D28" s="540">
        <v>100</v>
      </c>
      <c r="E28" s="3309" t="str">
        <f>C28</f>
        <v>5公里及以上</v>
      </c>
      <c r="F28" s="575">
        <f>SUMIF(92:92,E28,93:93)-SUMIF(92:92,C28,93:93)+100</f>
        <v>100</v>
      </c>
      <c r="G28" s="3309" t="str">
        <f>C28</f>
        <v>5公里及以上</v>
      </c>
      <c r="H28" s="540">
        <f>SUMIF(92:92,G28,93:93)-SUMIF(92:92,C28,93:93)+100</f>
        <v>100</v>
      </c>
      <c r="I28" s="3309" t="str">
        <f>C28</f>
        <v>5公里及以上</v>
      </c>
      <c r="J28" s="540">
        <f>SUMIF(92:92,I28,93:93)-SUMIF(92:92,C28,93:93)+100</f>
        <v>100</v>
      </c>
      <c r="K28" s="865"/>
      <c r="L28" s="2040"/>
      <c r="M28" s="2032"/>
      <c r="N28" s="2032"/>
      <c r="O28" s="2039"/>
      <c r="P28" s="3553"/>
      <c r="Q28" s="1573" t="str">
        <f t="shared" si="11"/>
        <v>距石化区</v>
      </c>
      <c r="R28" s="1574" t="s">
        <v>11</v>
      </c>
      <c r="S28" s="1575">
        <f t="shared" ref="S28:S46" si="12">F28</f>
        <v>100</v>
      </c>
      <c r="T28" s="1574" t="s">
        <v>11</v>
      </c>
      <c r="U28" s="1575">
        <f t="shared" ref="U28:U46" si="13">H28</f>
        <v>100</v>
      </c>
      <c r="V28" s="1574" t="s">
        <v>11</v>
      </c>
      <c r="W28" s="1575">
        <f t="shared" ref="W28:W46" si="14">J28</f>
        <v>100</v>
      </c>
      <c r="X28" s="1568"/>
      <c r="Y28" s="3553"/>
      <c r="Z28" s="1576" t="str">
        <f t="shared" ref="Z28:Z46" si="15">Q28</f>
        <v>距石化区</v>
      </c>
      <c r="AA28" s="1577">
        <f t="shared" si="3"/>
        <v>1</v>
      </c>
      <c r="AB28" s="1577">
        <f t="shared" si="4"/>
        <v>1</v>
      </c>
      <c r="AC28" s="1577">
        <f t="shared" si="5"/>
        <v>1</v>
      </c>
    </row>
    <row r="29" spans="1:29" ht="15.75" thickBot="1">
      <c r="A29" s="532"/>
      <c r="B29" s="3308" t="s">
        <v>3156</v>
      </c>
      <c r="C29" s="3312" t="s">
        <v>3135</v>
      </c>
      <c r="D29" s="540">
        <v>100</v>
      </c>
      <c r="E29" s="3312" t="s">
        <v>3134</v>
      </c>
      <c r="F29" s="575">
        <f>SUMIF(94:94,E29,95:95)-SUMIF(94:94,C29,95:95)+100</f>
        <v>120</v>
      </c>
      <c r="G29" s="3312" t="s">
        <v>3135</v>
      </c>
      <c r="H29" s="540">
        <f>SUMIF(94:94,G29,95:95)-SUMIF(94:94,C29,95:95)+100</f>
        <v>100</v>
      </c>
      <c r="I29" s="3312" t="s">
        <v>3135</v>
      </c>
      <c r="J29" s="540">
        <f>SUMIF(94:94,I29,95:95)-SUMIF(94:94,C29,95:95)+100</f>
        <v>100</v>
      </c>
      <c r="K29" s="865"/>
      <c r="L29" s="2040"/>
      <c r="M29" s="2032"/>
      <c r="N29" s="2032"/>
      <c r="O29" s="2039"/>
      <c r="P29" s="3553"/>
      <c r="Q29" s="1573" t="str">
        <f t="shared" si="11"/>
        <v>景观</v>
      </c>
      <c r="R29" s="1574" t="s">
        <v>11</v>
      </c>
      <c r="S29" s="1575">
        <f t="shared" si="12"/>
        <v>120</v>
      </c>
      <c r="T29" s="1574" t="s">
        <v>11</v>
      </c>
      <c r="U29" s="1575">
        <f t="shared" si="13"/>
        <v>100</v>
      </c>
      <c r="V29" s="1574" t="s">
        <v>11</v>
      </c>
      <c r="W29" s="1575">
        <f t="shared" si="14"/>
        <v>100</v>
      </c>
      <c r="X29" s="1568"/>
      <c r="Y29" s="3553"/>
      <c r="Z29" s="1576" t="str">
        <f t="shared" si="15"/>
        <v>景观</v>
      </c>
      <c r="AA29" s="1577">
        <f t="shared" si="3"/>
        <v>0.83333333333333337</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040"/>
      <c r="M30" s="2032"/>
      <c r="N30" s="2032"/>
      <c r="O30" s="2039"/>
      <c r="P30" s="3553"/>
      <c r="Q30" s="1573">
        <f t="shared" si="11"/>
        <v>0</v>
      </c>
      <c r="R30" s="1574" t="s">
        <v>11</v>
      </c>
      <c r="S30" s="1575">
        <f t="shared" si="12"/>
        <v>100</v>
      </c>
      <c r="T30" s="1574" t="s">
        <v>11</v>
      </c>
      <c r="U30" s="1575">
        <f t="shared" si="13"/>
        <v>100</v>
      </c>
      <c r="V30" s="1574" t="s">
        <v>11</v>
      </c>
      <c r="W30" s="1575">
        <f t="shared" si="14"/>
        <v>100</v>
      </c>
      <c r="X30" s="1568"/>
      <c r="Y30" s="3553"/>
      <c r="Z30" s="1576">
        <f t="shared" si="15"/>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040"/>
      <c r="M31" s="2032"/>
      <c r="N31" s="2032"/>
      <c r="O31" s="2039"/>
      <c r="P31" s="3553"/>
      <c r="Q31" s="1573">
        <f t="shared" si="11"/>
        <v>0</v>
      </c>
      <c r="R31" s="1574" t="s">
        <v>11</v>
      </c>
      <c r="S31" s="1575">
        <f t="shared" si="12"/>
        <v>100</v>
      </c>
      <c r="T31" s="1574" t="s">
        <v>11</v>
      </c>
      <c r="U31" s="1575">
        <f t="shared" si="13"/>
        <v>100</v>
      </c>
      <c r="V31" s="1574" t="s">
        <v>11</v>
      </c>
      <c r="W31" s="1575">
        <f t="shared" si="14"/>
        <v>100</v>
      </c>
      <c r="X31" s="1568"/>
      <c r="Y31" s="3553"/>
      <c r="Z31" s="1576">
        <f t="shared" si="15"/>
        <v>0</v>
      </c>
      <c r="AA31" s="1577">
        <f t="shared" si="3"/>
        <v>1</v>
      </c>
      <c r="AB31" s="1577">
        <f t="shared" si="4"/>
        <v>1</v>
      </c>
      <c r="AC31" s="1577">
        <f t="shared" si="5"/>
        <v>1</v>
      </c>
    </row>
    <row r="32" spans="1:29" ht="15">
      <c r="A32" s="2822" t="s">
        <v>2754</v>
      </c>
      <c r="B32" s="172" t="s">
        <v>723</v>
      </c>
      <c r="C32" s="878" t="s">
        <v>3217</v>
      </c>
      <c r="D32" s="597">
        <v>100</v>
      </c>
      <c r="E32" s="879" t="s">
        <v>3217</v>
      </c>
      <c r="F32" s="575">
        <f>SUMIF(100:100,E32,101:101)-SUMIF(100:100,C32,101:101)+100</f>
        <v>100</v>
      </c>
      <c r="G32" s="878" t="s">
        <v>3217</v>
      </c>
      <c r="H32" s="597">
        <f>SUMIF(100:100,G32,101:101)-SUMIF(100:100,C32,101:101)+100</f>
        <v>100</v>
      </c>
      <c r="I32" s="879" t="s">
        <v>3217</v>
      </c>
      <c r="J32" s="540">
        <f>SUMIF(100:100,I32,101:101)-SUMIF(100:100,C32,101:101)+100</f>
        <v>100</v>
      </c>
      <c r="K32" s="864">
        <v>10</v>
      </c>
      <c r="L32" s="2040"/>
      <c r="M32" s="2032"/>
      <c r="N32" s="2032"/>
      <c r="O32" s="2039"/>
      <c r="P32" s="3554" t="s">
        <v>548</v>
      </c>
      <c r="Q32" s="1573" t="str">
        <f t="shared" si="11"/>
        <v>建筑类型</v>
      </c>
      <c r="R32" s="1574" t="s">
        <v>11</v>
      </c>
      <c r="S32" s="1575">
        <f t="shared" si="12"/>
        <v>100</v>
      </c>
      <c r="T32" s="1574" t="s">
        <v>11</v>
      </c>
      <c r="U32" s="1575">
        <f t="shared" si="13"/>
        <v>100</v>
      </c>
      <c r="V32" s="1574" t="s">
        <v>11</v>
      </c>
      <c r="W32" s="1575">
        <f t="shared" si="14"/>
        <v>100</v>
      </c>
      <c r="X32" s="1568"/>
      <c r="Y32" s="3555" t="s">
        <v>548</v>
      </c>
      <c r="Z32" s="1576" t="str">
        <f t="shared" si="15"/>
        <v>建筑类型</v>
      </c>
      <c r="AA32" s="1577">
        <f t="shared" si="3"/>
        <v>1</v>
      </c>
      <c r="AB32" s="1577">
        <f t="shared" si="4"/>
        <v>1</v>
      </c>
      <c r="AC32" s="1577">
        <f t="shared" si="5"/>
        <v>1</v>
      </c>
    </row>
    <row r="33" spans="1:29" s="1339" customFormat="1" ht="15">
      <c r="A33" s="603"/>
      <c r="B33" s="527" t="s">
        <v>724</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038"/>
      <c r="M33" s="2069"/>
      <c r="N33" s="2069"/>
      <c r="O33" s="2041"/>
      <c r="P33" s="3555"/>
      <c r="Q33" s="1606" t="str">
        <f t="shared" si="11"/>
        <v>项目建筑规模</v>
      </c>
      <c r="R33" s="1578" t="s">
        <v>11</v>
      </c>
      <c r="S33" s="1579">
        <f t="shared" si="12"/>
        <v>100</v>
      </c>
      <c r="T33" s="1578" t="s">
        <v>11</v>
      </c>
      <c r="U33" s="1579">
        <f t="shared" si="13"/>
        <v>100</v>
      </c>
      <c r="V33" s="1578" t="s">
        <v>11</v>
      </c>
      <c r="W33" s="1579">
        <f t="shared" si="14"/>
        <v>100</v>
      </c>
      <c r="X33" s="1580"/>
      <c r="Y33" s="3555"/>
      <c r="Z33" s="1581" t="str">
        <f t="shared" si="15"/>
        <v>项目建筑规模</v>
      </c>
      <c r="AA33" s="1577">
        <f t="shared" si="3"/>
        <v>1</v>
      </c>
      <c r="AB33" s="1577">
        <f t="shared" si="4"/>
        <v>1</v>
      </c>
      <c r="AC33" s="1577">
        <f t="shared" si="5"/>
        <v>1</v>
      </c>
    </row>
    <row r="34" spans="1:29" ht="15">
      <c r="A34" s="594"/>
      <c r="B34" s="527" t="s">
        <v>725</v>
      </c>
      <c r="C34" s="881" t="s">
        <v>3121</v>
      </c>
      <c r="D34" s="540">
        <v>100</v>
      </c>
      <c r="E34" s="881" t="s">
        <v>3121</v>
      </c>
      <c r="F34" s="575">
        <f>SUMIF(105:105,E34,106:106)-SUMIF(105:105,C34,106:106)+100</f>
        <v>100</v>
      </c>
      <c r="G34" s="881" t="s">
        <v>3121</v>
      </c>
      <c r="H34" s="540">
        <f>SUMIF(105:105,G34,106:106)-SUMIF(105:105,C34,106:106)+100</f>
        <v>100</v>
      </c>
      <c r="I34" s="881" t="s">
        <v>3121</v>
      </c>
      <c r="J34" s="540">
        <f>SUMIF(105:105,I34,106:106)-SUMIF(105:105,C34,106:106)+100</f>
        <v>100</v>
      </c>
      <c r="K34" s="864">
        <v>5</v>
      </c>
      <c r="L34" s="2040"/>
      <c r="M34" s="2032"/>
      <c r="N34" s="2032"/>
      <c r="O34" s="2039"/>
      <c r="P34" s="3555"/>
      <c r="Q34" s="1573" t="str">
        <f t="shared" si="11"/>
        <v>建筑结构</v>
      </c>
      <c r="R34" s="1574" t="s">
        <v>11</v>
      </c>
      <c r="S34" s="1575">
        <f t="shared" si="12"/>
        <v>100</v>
      </c>
      <c r="T34" s="1574" t="s">
        <v>11</v>
      </c>
      <c r="U34" s="1575">
        <f t="shared" si="13"/>
        <v>100</v>
      </c>
      <c r="V34" s="1574" t="s">
        <v>11</v>
      </c>
      <c r="W34" s="1575">
        <f t="shared" si="14"/>
        <v>100</v>
      </c>
      <c r="X34" s="1568"/>
      <c r="Y34" s="3555"/>
      <c r="Z34" s="1576" t="str">
        <f t="shared" si="15"/>
        <v>建筑结构</v>
      </c>
      <c r="AA34" s="1577">
        <f t="shared" si="3"/>
        <v>1</v>
      </c>
      <c r="AB34" s="1577">
        <f t="shared" si="4"/>
        <v>1</v>
      </c>
      <c r="AC34" s="1577">
        <f t="shared" si="5"/>
        <v>1</v>
      </c>
    </row>
    <row r="35" spans="1:29" ht="15">
      <c r="A35" s="594"/>
      <c r="B35" s="527" t="s">
        <v>726</v>
      </c>
      <c r="C35" s="599" t="s">
        <v>3137</v>
      </c>
      <c r="D35" s="540">
        <v>100</v>
      </c>
      <c r="E35" s="599" t="s">
        <v>3137</v>
      </c>
      <c r="F35" s="575">
        <f>SUMIF(107:107,E35,108:108)-SUMIF(107:107,C35,108:108)+100</f>
        <v>100</v>
      </c>
      <c r="G35" s="599" t="s">
        <v>3137</v>
      </c>
      <c r="H35" s="540">
        <f>SUMIF(107:107,G35,108:108)-SUMIF(107:107,C35,108:108)+100</f>
        <v>100</v>
      </c>
      <c r="I35" s="599" t="s">
        <v>3137</v>
      </c>
      <c r="J35" s="540">
        <f>SUMIF(107:107,I35,108:108)-SUMIF(107:107,C35,108:108)+100</f>
        <v>100</v>
      </c>
      <c r="K35" s="864">
        <v>5</v>
      </c>
      <c r="L35" s="2040"/>
      <c r="M35" s="2032"/>
      <c r="N35" s="2032"/>
      <c r="O35" s="2039"/>
      <c r="P35" s="3555"/>
      <c r="Q35" s="1573" t="str">
        <f t="shared" si="11"/>
        <v>建筑品质</v>
      </c>
      <c r="R35" s="1574" t="s">
        <v>11</v>
      </c>
      <c r="S35" s="1575">
        <f t="shared" si="12"/>
        <v>100</v>
      </c>
      <c r="T35" s="1574" t="s">
        <v>11</v>
      </c>
      <c r="U35" s="1575">
        <f t="shared" si="13"/>
        <v>100</v>
      </c>
      <c r="V35" s="1574" t="s">
        <v>11</v>
      </c>
      <c r="W35" s="1575">
        <f t="shared" si="14"/>
        <v>100</v>
      </c>
      <c r="X35" s="1568"/>
      <c r="Y35" s="3555"/>
      <c r="Z35" s="1576" t="str">
        <f t="shared" si="15"/>
        <v>建筑品质</v>
      </c>
      <c r="AA35" s="1577">
        <f t="shared" si="3"/>
        <v>1</v>
      </c>
      <c r="AB35" s="1577">
        <f t="shared" si="4"/>
        <v>1</v>
      </c>
      <c r="AC35" s="1577">
        <f t="shared" si="5"/>
        <v>1</v>
      </c>
    </row>
    <row r="36" spans="1:29" ht="15">
      <c r="A36" s="594"/>
      <c r="B36" s="527" t="s">
        <v>727</v>
      </c>
      <c r="C36" s="599" t="s">
        <v>3024</v>
      </c>
      <c r="D36" s="540">
        <v>100</v>
      </c>
      <c r="E36" s="599" t="s">
        <v>3024</v>
      </c>
      <c r="F36" s="575">
        <f>SUMIF(109:109,E36,110:110)-SUMIF(109:109,C36,110:110)+100</f>
        <v>100</v>
      </c>
      <c r="G36" s="599" t="s">
        <v>3024</v>
      </c>
      <c r="H36" s="540">
        <f>SUMIF(109:109,G36,110:110)-SUMIF(109:109,C36,110:110)+100</f>
        <v>100</v>
      </c>
      <c r="I36" s="599" t="s">
        <v>3024</v>
      </c>
      <c r="J36" s="540">
        <f>SUMIF(109:109,I36,110:110)-SUMIF(109:109,C36,110:110)+100</f>
        <v>100</v>
      </c>
      <c r="K36" s="864">
        <v>2</v>
      </c>
      <c r="L36" s="2040"/>
      <c r="M36" s="2032"/>
      <c r="N36" s="2032"/>
      <c r="O36" s="2039"/>
      <c r="P36" s="3555"/>
      <c r="Q36" s="1573" t="str">
        <f t="shared" si="11"/>
        <v>公共部分装修</v>
      </c>
      <c r="R36" s="1574" t="s">
        <v>11</v>
      </c>
      <c r="S36" s="1575">
        <f t="shared" si="12"/>
        <v>100</v>
      </c>
      <c r="T36" s="1574" t="s">
        <v>11</v>
      </c>
      <c r="U36" s="1575">
        <f t="shared" si="13"/>
        <v>100</v>
      </c>
      <c r="V36" s="1574" t="s">
        <v>11</v>
      </c>
      <c r="W36" s="1575">
        <f t="shared" si="14"/>
        <v>100</v>
      </c>
      <c r="X36" s="1568"/>
      <c r="Y36" s="3555"/>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033"/>
      <c r="M37" s="2034"/>
      <c r="N37" s="2034"/>
      <c r="O37" s="2035"/>
      <c r="P37" s="3555"/>
      <c r="Q37" s="1151" t="str">
        <f t="shared" si="11"/>
        <v>成新度</v>
      </c>
      <c r="R37" s="1569" t="s">
        <v>11</v>
      </c>
      <c r="S37" s="1570">
        <f t="shared" si="12"/>
        <v>100</v>
      </c>
      <c r="T37" s="1569" t="s">
        <v>11</v>
      </c>
      <c r="U37" s="1570">
        <f t="shared" si="13"/>
        <v>100</v>
      </c>
      <c r="V37" s="1569" t="s">
        <v>11</v>
      </c>
      <c r="W37" s="1570">
        <f t="shared" si="14"/>
        <v>100</v>
      </c>
      <c r="X37" s="1571"/>
      <c r="Y37" s="3555"/>
      <c r="Z37" s="1150" t="str">
        <f t="shared" si="15"/>
        <v>成新度</v>
      </c>
      <c r="AA37" s="1572">
        <f t="shared" si="3"/>
        <v>1</v>
      </c>
      <c r="AB37" s="1572">
        <f t="shared" si="4"/>
        <v>1</v>
      </c>
      <c r="AC37" s="1572">
        <f t="shared" si="5"/>
        <v>1</v>
      </c>
    </row>
    <row r="38" spans="1:29" ht="15">
      <c r="A38" s="594"/>
      <c r="B38" s="527" t="s">
        <v>729</v>
      </c>
      <c r="C38" s="599" t="s">
        <v>3143</v>
      </c>
      <c r="D38" s="540">
        <v>100</v>
      </c>
      <c r="E38" s="599" t="s">
        <v>3143</v>
      </c>
      <c r="F38" s="575">
        <f>SUMIF(114:114,E38,115:115)-SUMIF(114:114,C38,115:115)+100</f>
        <v>100</v>
      </c>
      <c r="G38" s="599" t="s">
        <v>3143</v>
      </c>
      <c r="H38" s="540">
        <f>SUMIF(114:114,G38,115:115)-SUMIF(114:114,C38,115:115)+100</f>
        <v>100</v>
      </c>
      <c r="I38" s="599" t="s">
        <v>3143</v>
      </c>
      <c r="J38" s="540">
        <f>SUMIF(114:114,I38,115:115)-SUMIF(114:114,C38,115:115)+100</f>
        <v>100</v>
      </c>
      <c r="K38" s="864">
        <v>5</v>
      </c>
      <c r="L38" s="2040"/>
      <c r="M38" s="2032"/>
      <c r="N38" s="2032"/>
      <c r="O38" s="2039"/>
      <c r="P38" s="3555" t="s">
        <v>548</v>
      </c>
      <c r="Q38" s="1573" t="str">
        <f t="shared" si="11"/>
        <v>物业管理</v>
      </c>
      <c r="R38" s="1574" t="s">
        <v>11</v>
      </c>
      <c r="S38" s="1575">
        <f t="shared" si="12"/>
        <v>100</v>
      </c>
      <c r="T38" s="1574" t="s">
        <v>11</v>
      </c>
      <c r="U38" s="1575">
        <f t="shared" si="13"/>
        <v>100</v>
      </c>
      <c r="V38" s="1574" t="s">
        <v>11</v>
      </c>
      <c r="W38" s="1575">
        <f t="shared" si="14"/>
        <v>100</v>
      </c>
      <c r="X38" s="1568"/>
      <c r="Y38" s="3555" t="s">
        <v>548</v>
      </c>
      <c r="Z38" s="1576" t="str">
        <f t="shared" si="15"/>
        <v>物业管理</v>
      </c>
      <c r="AA38" s="1577">
        <f t="shared" si="3"/>
        <v>1</v>
      </c>
      <c r="AB38" s="1577">
        <f t="shared" si="4"/>
        <v>1</v>
      </c>
      <c r="AC38" s="1577">
        <f t="shared" si="5"/>
        <v>1</v>
      </c>
    </row>
    <row r="39" spans="1:29" ht="15">
      <c r="A39" s="594"/>
      <c r="B39" s="1793" t="s">
        <v>2561</v>
      </c>
      <c r="C39" s="599" t="s">
        <v>3147</v>
      </c>
      <c r="D39" s="540">
        <v>100</v>
      </c>
      <c r="E39" s="599" t="s">
        <v>3147</v>
      </c>
      <c r="F39" s="575">
        <f>SUMIF(116:116,E39,117:117)-SUMIF(116:116,C39,117:117)+100</f>
        <v>100</v>
      </c>
      <c r="G39" s="599" t="s">
        <v>3147</v>
      </c>
      <c r="H39" s="540">
        <f>SUMIF(116:116,G39,117:117)-SUMIF(116:116,C39,117:117)+100</f>
        <v>100</v>
      </c>
      <c r="I39" s="599" t="s">
        <v>3147</v>
      </c>
      <c r="J39" s="540">
        <f>SUMIF(116:116,I39,117:117)-SUMIF(116:116,C39,117:117)+100</f>
        <v>100</v>
      </c>
      <c r="K39" s="864">
        <v>2</v>
      </c>
      <c r="L39" s="2040"/>
      <c r="M39" s="2032"/>
      <c r="N39" s="2032"/>
      <c r="O39" s="2039"/>
      <c r="P39" s="3555"/>
      <c r="Q39" s="1573" t="str">
        <f t="shared" si="11"/>
        <v>市政基础设施</v>
      </c>
      <c r="R39" s="1574" t="s">
        <v>11</v>
      </c>
      <c r="S39" s="1575">
        <f t="shared" si="12"/>
        <v>100</v>
      </c>
      <c r="T39" s="1574" t="s">
        <v>11</v>
      </c>
      <c r="U39" s="1575">
        <f t="shared" si="13"/>
        <v>100</v>
      </c>
      <c r="V39" s="1574" t="s">
        <v>11</v>
      </c>
      <c r="W39" s="1575">
        <f t="shared" si="14"/>
        <v>100</v>
      </c>
      <c r="X39" s="1568"/>
      <c r="Y39" s="3555"/>
      <c r="Z39" s="1576" t="str">
        <f t="shared" si="15"/>
        <v>市政基础设施</v>
      </c>
      <c r="AA39" s="1577">
        <f t="shared" si="3"/>
        <v>1</v>
      </c>
      <c r="AB39" s="1577">
        <f t="shared" si="4"/>
        <v>1</v>
      </c>
      <c r="AC39" s="1577">
        <f t="shared" si="5"/>
        <v>1</v>
      </c>
    </row>
    <row r="40" spans="1:29" ht="15">
      <c r="A40" s="594"/>
      <c r="B40" s="527" t="s">
        <v>730</v>
      </c>
      <c r="C40" s="599" t="s">
        <v>3150</v>
      </c>
      <c r="D40" s="540">
        <v>100</v>
      </c>
      <c r="E40" s="599" t="s">
        <v>3150</v>
      </c>
      <c r="F40" s="575">
        <f>SUMIF(118:118,E40,119:119)-SUMIF(118:118,C40,119:119)+100</f>
        <v>100</v>
      </c>
      <c r="G40" s="599" t="s">
        <v>3150</v>
      </c>
      <c r="H40" s="540">
        <f>SUMIF(118:118,G40,119:119)-SUMIF(118:118,C40,119:119)+100</f>
        <v>100</v>
      </c>
      <c r="I40" s="599" t="s">
        <v>3150</v>
      </c>
      <c r="J40" s="540">
        <f>SUMIF(118:118,I40,119:119)-SUMIF(118:118,C40,119:119)+100</f>
        <v>100</v>
      </c>
      <c r="K40" s="864">
        <v>100</v>
      </c>
      <c r="L40" s="3313" t="s">
        <v>3167</v>
      </c>
      <c r="M40" s="2032"/>
      <c r="N40" s="2032"/>
      <c r="O40" s="2039"/>
      <c r="P40" s="3555"/>
      <c r="Q40" s="1573" t="str">
        <f t="shared" si="11"/>
        <v>房型</v>
      </c>
      <c r="R40" s="1574" t="s">
        <v>11</v>
      </c>
      <c r="S40" s="1575">
        <f t="shared" si="12"/>
        <v>100</v>
      </c>
      <c r="T40" s="1574" t="s">
        <v>11</v>
      </c>
      <c r="U40" s="1575">
        <f t="shared" si="13"/>
        <v>100</v>
      </c>
      <c r="V40" s="1574" t="s">
        <v>11</v>
      </c>
      <c r="W40" s="1575">
        <f t="shared" si="14"/>
        <v>100</v>
      </c>
      <c r="X40" s="1568"/>
      <c r="Y40" s="3555"/>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3314" t="s">
        <v>3168</v>
      </c>
      <c r="M41" s="2069"/>
      <c r="N41" s="2069"/>
      <c r="O41" s="2041"/>
      <c r="P41" s="3555"/>
      <c r="Q41" s="1606" t="str">
        <f t="shared" si="11"/>
        <v>单套/主力户型建筑面积</v>
      </c>
      <c r="R41" s="1578" t="s">
        <v>11</v>
      </c>
      <c r="S41" s="1579">
        <f t="shared" si="12"/>
        <v>100</v>
      </c>
      <c r="T41" s="1578" t="s">
        <v>11</v>
      </c>
      <c r="U41" s="1579">
        <f t="shared" si="13"/>
        <v>100</v>
      </c>
      <c r="V41" s="1578" t="s">
        <v>11</v>
      </c>
      <c r="W41" s="1579">
        <f t="shared" si="14"/>
        <v>100</v>
      </c>
      <c r="X41" s="1580"/>
      <c r="Y41" s="3555"/>
      <c r="Z41" s="1581" t="str">
        <f t="shared" si="15"/>
        <v>单套/主力户型建筑面积</v>
      </c>
      <c r="AA41" s="1577">
        <f t="shared" si="3"/>
        <v>1</v>
      </c>
      <c r="AB41" s="1577">
        <f t="shared" si="4"/>
        <v>1</v>
      </c>
      <c r="AC41" s="1577">
        <f t="shared" si="5"/>
        <v>1</v>
      </c>
    </row>
    <row r="42" spans="1:29" ht="15">
      <c r="A42" s="594"/>
      <c r="B42" s="527" t="s">
        <v>732</v>
      </c>
      <c r="C42" s="599" t="s">
        <v>3024</v>
      </c>
      <c r="D42" s="540">
        <v>100</v>
      </c>
      <c r="E42" s="599" t="s">
        <v>3024</v>
      </c>
      <c r="F42" s="575">
        <f>SUMIF(122:122,E42,123:123)-SUMIF(122:122,C42,123:123)+100</f>
        <v>100</v>
      </c>
      <c r="G42" s="599" t="s">
        <v>3024</v>
      </c>
      <c r="H42" s="540">
        <f>SUMIF(122:122,G42,123:123)-SUMIF(122:122,C42,123:123)+100</f>
        <v>100</v>
      </c>
      <c r="I42" s="599" t="s">
        <v>3024</v>
      </c>
      <c r="J42" s="540">
        <f>SUMIF(122:122,I42,123:123)-SUMIF(122:122,C42,123:123)+100</f>
        <v>100</v>
      </c>
      <c r="K42" s="864"/>
      <c r="L42" s="2040"/>
      <c r="M42" s="2032"/>
      <c r="N42" s="2032"/>
      <c r="O42" s="2039"/>
      <c r="P42" s="3555"/>
      <c r="Q42" s="1573" t="str">
        <f t="shared" si="11"/>
        <v>内部装修</v>
      </c>
      <c r="R42" s="1574" t="s">
        <v>11</v>
      </c>
      <c r="S42" s="1575">
        <f t="shared" si="12"/>
        <v>100</v>
      </c>
      <c r="T42" s="1574" t="s">
        <v>11</v>
      </c>
      <c r="U42" s="1575">
        <f t="shared" si="13"/>
        <v>100</v>
      </c>
      <c r="V42" s="1574" t="s">
        <v>11</v>
      </c>
      <c r="W42" s="1575">
        <f t="shared" si="14"/>
        <v>100</v>
      </c>
      <c r="X42" s="1568"/>
      <c r="Y42" s="3555"/>
      <c r="Z42" s="1576" t="str">
        <f t="shared" si="15"/>
        <v>内部装修</v>
      </c>
      <c r="AA42" s="1577">
        <f t="shared" si="3"/>
        <v>1</v>
      </c>
      <c r="AB42" s="1577">
        <f t="shared" si="4"/>
        <v>1</v>
      </c>
      <c r="AC42" s="1577">
        <f t="shared" si="5"/>
        <v>1</v>
      </c>
    </row>
    <row r="43" spans="1:29" ht="27.75" thickBot="1">
      <c r="A43" s="594"/>
      <c r="B43" s="527" t="s">
        <v>733</v>
      </c>
      <c r="C43" s="599" t="s">
        <v>3163</v>
      </c>
      <c r="D43" s="540">
        <v>100</v>
      </c>
      <c r="E43" s="874" t="s">
        <v>3163</v>
      </c>
      <c r="F43" s="575">
        <f>SUMIF(124:124,E43,125:125)-SUMIF(124:124,C43,125:125)+100</f>
        <v>100</v>
      </c>
      <c r="G43" s="599" t="s">
        <v>3163</v>
      </c>
      <c r="H43" s="540">
        <f>SUMIF(124:124,G43,125:125)-SUMIF(124:124,C43,125:125)+100</f>
        <v>100</v>
      </c>
      <c r="I43" s="874" t="s">
        <v>3163</v>
      </c>
      <c r="J43" s="540">
        <f>SUMIF(124:124,I43,125:125)-SUMIF(124:124,C43,125:125)+100</f>
        <v>100</v>
      </c>
      <c r="K43" s="864"/>
      <c r="L43" s="2040"/>
      <c r="M43" s="2032"/>
      <c r="N43" s="2032"/>
      <c r="O43" s="2039"/>
      <c r="P43" s="3555"/>
      <c r="Q43" s="1573" t="str">
        <f t="shared" si="11"/>
        <v>内部装修维护情况</v>
      </c>
      <c r="R43" s="1574" t="s">
        <v>11</v>
      </c>
      <c r="S43" s="1575">
        <f t="shared" si="12"/>
        <v>100</v>
      </c>
      <c r="T43" s="1574" t="s">
        <v>11</v>
      </c>
      <c r="U43" s="1575">
        <f t="shared" si="13"/>
        <v>100</v>
      </c>
      <c r="V43" s="1574" t="s">
        <v>11</v>
      </c>
      <c r="W43" s="1575">
        <f t="shared" si="14"/>
        <v>100</v>
      </c>
      <c r="X43" s="1568"/>
      <c r="Y43" s="3555"/>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033"/>
      <c r="M44" s="2034"/>
      <c r="N44" s="2034"/>
      <c r="O44" s="2035"/>
      <c r="P44" s="3555"/>
      <c r="Q44" s="1151">
        <f t="shared" si="11"/>
        <v>0</v>
      </c>
      <c r="R44" s="1569" t="s">
        <v>11</v>
      </c>
      <c r="S44" s="1570">
        <f t="shared" si="12"/>
        <v>100</v>
      </c>
      <c r="T44" s="1569" t="s">
        <v>11</v>
      </c>
      <c r="U44" s="1570">
        <f t="shared" si="13"/>
        <v>100</v>
      </c>
      <c r="V44" s="1569" t="s">
        <v>11</v>
      </c>
      <c r="W44" s="1570">
        <f t="shared" si="14"/>
        <v>100</v>
      </c>
      <c r="X44" s="1571"/>
      <c r="Y44" s="3555"/>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040"/>
      <c r="M45" s="2032"/>
      <c r="N45" s="2032"/>
      <c r="O45" s="2039"/>
      <c r="P45" s="3555"/>
      <c r="Q45" s="1573">
        <f t="shared" si="11"/>
        <v>0</v>
      </c>
      <c r="R45" s="1574" t="s">
        <v>11</v>
      </c>
      <c r="S45" s="1575">
        <f t="shared" si="12"/>
        <v>100</v>
      </c>
      <c r="T45" s="1574" t="s">
        <v>11</v>
      </c>
      <c r="U45" s="1575">
        <f t="shared" si="13"/>
        <v>100</v>
      </c>
      <c r="V45" s="1574" t="s">
        <v>11</v>
      </c>
      <c r="W45" s="1575">
        <f t="shared" si="14"/>
        <v>100</v>
      </c>
      <c r="X45" s="1568"/>
      <c r="Y45" s="3555"/>
      <c r="Z45" s="1576">
        <f t="shared" si="15"/>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040"/>
      <c r="M46" s="2032"/>
      <c r="N46" s="2032"/>
      <c r="O46" s="2039"/>
      <c r="P46" s="3657"/>
      <c r="Q46" s="1573">
        <f t="shared" si="11"/>
        <v>0</v>
      </c>
      <c r="R46" s="1574" t="s">
        <v>10</v>
      </c>
      <c r="S46" s="1575">
        <f t="shared" si="12"/>
        <v>100</v>
      </c>
      <c r="T46" s="1574" t="s">
        <v>10</v>
      </c>
      <c r="U46" s="1575">
        <f t="shared" si="13"/>
        <v>100</v>
      </c>
      <c r="V46" s="1574" t="s">
        <v>10</v>
      </c>
      <c r="W46" s="1575">
        <f t="shared" si="14"/>
        <v>100</v>
      </c>
      <c r="X46" s="1568"/>
      <c r="Y46" s="3657"/>
      <c r="Z46" s="1576">
        <f t="shared" si="15"/>
        <v>0</v>
      </c>
      <c r="AA46" s="1577">
        <f t="shared" si="3"/>
        <v>1</v>
      </c>
      <c r="AB46" s="1577">
        <f t="shared" si="4"/>
        <v>1</v>
      </c>
      <c r="AC46" s="1577">
        <f t="shared" si="5"/>
        <v>1</v>
      </c>
    </row>
    <row r="47" spans="1:29" ht="15">
      <c r="A47" s="607" t="s">
        <v>734</v>
      </c>
      <c r="B47" s="887"/>
      <c r="C47" s="2546" t="s">
        <v>9</v>
      </c>
      <c r="D47" s="2547"/>
      <c r="E47" s="2548">
        <v>15800</v>
      </c>
      <c r="F47" s="2549"/>
      <c r="G47" s="2550">
        <v>12500</v>
      </c>
      <c r="H47" s="2551"/>
      <c r="I47" s="2548">
        <v>11500</v>
      </c>
      <c r="J47" s="2551"/>
      <c r="K47" s="1607"/>
      <c r="L47" s="2042"/>
      <c r="M47" s="2043"/>
      <c r="N47" s="2032"/>
      <c r="O47" s="2043"/>
      <c r="P47" s="3550" t="str">
        <f>A47</f>
        <v>成交单价（元/平方米）</v>
      </c>
      <c r="Q47" s="3550"/>
      <c r="R47" s="3656">
        <f>E47</f>
        <v>15800</v>
      </c>
      <c r="S47" s="3656"/>
      <c r="T47" s="3656">
        <f>G47</f>
        <v>12500</v>
      </c>
      <c r="U47" s="3656"/>
      <c r="V47" s="3656">
        <f>I47</f>
        <v>11500</v>
      </c>
      <c r="W47" s="3656"/>
      <c r="X47" s="1560"/>
      <c r="Y47" s="1582"/>
      <c r="Z47" s="1560"/>
      <c r="AA47" s="1560"/>
      <c r="AB47" s="1560"/>
      <c r="AC47" s="1560"/>
    </row>
    <row r="48" spans="1:29" ht="15.75" thickBot="1">
      <c r="A48" s="615" t="s">
        <v>2759</v>
      </c>
      <c r="B48" s="888"/>
      <c r="C48" s="2552">
        <f>R49</f>
        <v>12811</v>
      </c>
      <c r="D48" s="2553"/>
      <c r="E48" s="2554">
        <f>R48</f>
        <v>13435</v>
      </c>
      <c r="F48" s="2554"/>
      <c r="G48" s="2552">
        <f>T48</f>
        <v>12505</v>
      </c>
      <c r="H48" s="2553"/>
      <c r="I48" s="2554">
        <f>V48</f>
        <v>12493</v>
      </c>
      <c r="J48" s="2553"/>
      <c r="K48" s="1608"/>
      <c r="L48" s="2042"/>
      <c r="M48" s="2043"/>
      <c r="N48" s="2043"/>
      <c r="O48" s="2043"/>
      <c r="P48" s="3550" t="str">
        <f>A48</f>
        <v>比较价格（元/平方米）</v>
      </c>
      <c r="Q48" s="3550"/>
      <c r="R48" s="3656">
        <f>IF(F1="售价",ROUND(PRODUCT(R47,AA7:AA46),0),ROUND(PRODUCT(R47,AA7:AA46),1))</f>
        <v>13435</v>
      </c>
      <c r="S48" s="3656"/>
      <c r="T48" s="3656">
        <f>IF(F1="售价",ROUND(PRODUCT(T47,AB7:AB46),0),ROUND(PRODUCT(T47,AB7:AB46),1))</f>
        <v>12505</v>
      </c>
      <c r="U48" s="3656"/>
      <c r="V48" s="3656">
        <f>IF(F1="售价",ROUND(PRODUCT(V47,AC7:AC46),0),ROUND(PRODUCT(V47,AC7:AC46),1))</f>
        <v>12493</v>
      </c>
      <c r="W48" s="3656"/>
      <c r="X48" s="1560"/>
      <c r="Y48" s="1560"/>
      <c r="Z48" s="1560"/>
      <c r="AA48" s="1560"/>
      <c r="AB48" s="1560"/>
      <c r="AC48" s="1560"/>
    </row>
    <row r="49" spans="1:29" ht="15.75" thickBot="1">
      <c r="A49" s="3316" t="s">
        <v>3172</v>
      </c>
      <c r="B49" s="622"/>
      <c r="C49" s="2555">
        <f>R49</f>
        <v>12811</v>
      </c>
      <c r="D49" s="2555"/>
      <c r="E49" s="2555"/>
      <c r="F49" s="2555"/>
      <c r="G49" s="2555"/>
      <c r="H49" s="2555"/>
      <c r="I49" s="2555"/>
      <c r="J49" s="2555"/>
      <c r="K49" s="1609"/>
      <c r="L49" s="2042"/>
      <c r="M49" s="2043"/>
      <c r="N49" s="2043"/>
      <c r="O49" s="2043"/>
      <c r="P49" s="3570" t="str">
        <f>A49</f>
        <v>普通住宅比较价格（楼面单价，元/平方米）</v>
      </c>
      <c r="Q49" s="3571"/>
      <c r="R49" s="3655">
        <f>IF(F1="售价",ROUND(AVERAGE(R48:V48),0),ROUND(AVERAGE(R48:V48),1))</f>
        <v>12811</v>
      </c>
      <c r="S49" s="3655"/>
      <c r="T49" s="3655"/>
      <c r="U49" s="3655"/>
      <c r="V49" s="3655"/>
      <c r="W49" s="3655"/>
      <c r="X49" s="1560"/>
      <c r="Y49" s="1560"/>
      <c r="Z49" s="1560"/>
      <c r="AA49" s="1560"/>
      <c r="AB49" s="1560"/>
      <c r="AC49" s="1560"/>
    </row>
    <row r="50" spans="1:29" hidden="1">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idden="1">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f>IF(E47&lt;E48,E48/E47-1,E47/E48-1)</f>
        <v>0.17603275027912169</v>
      </c>
      <c r="F52" s="627" t="str">
        <f>IF(OR(E52&gt;=0.3,E52&lt;=-0.3),"超过30%","")</f>
        <v/>
      </c>
      <c r="G52" s="626">
        <f>IF(G47&lt;G48,G48/G47-1,G47/G48-1)</f>
        <v>3.9999999999995595E-4</v>
      </c>
      <c r="H52" s="627" t="str">
        <f>IF(OR(G52&gt;=0.3,G52&lt;=-0.3),"超过30%","")</f>
        <v/>
      </c>
      <c r="I52" s="626">
        <f>IF(I47&lt;I48,I48/I47-1,I47/I48-1)</f>
        <v>8.6347826086956569E-2</v>
      </c>
      <c r="J52" s="627" t="str">
        <f>IF(OR(I52&gt;=0.3,I52&lt;=-0.3),"超过30%","")</f>
        <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f>IF(E48&lt;G48,G48/E48-1,E48/G48-1)</f>
        <v>7.4370251899240403E-2</v>
      </c>
      <c r="F53" s="627" t="str">
        <f>IF(OR(E53&gt;=0.2,E53&lt;=-0.2),"超过20%","")</f>
        <v/>
      </c>
      <c r="G53" s="626">
        <f>IF(G48&lt;I48,I48/G48-1,G48/I48-1)</f>
        <v>9.6053790122474503E-4</v>
      </c>
      <c r="H53" s="627" t="str">
        <f>IF(OR(G53&gt;=0.2,G53&lt;=-0.2),"超过20%","")</f>
        <v/>
      </c>
      <c r="I53" s="626">
        <f>IF(I48&lt;E48,E48/I48-1,I48/E48-1)</f>
        <v>7.5402225246137933E-2</v>
      </c>
      <c r="J53" s="627" t="str">
        <f>IF(OR(I53&gt;=0.2,I53&lt;=-0.2),"超过20%","")</f>
        <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3317" t="s">
        <v>3171</v>
      </c>
      <c r="B54" s="2044"/>
      <c r="C54" s="624" t="s">
        <v>557</v>
      </c>
      <c r="D54" s="628"/>
      <c r="E54" s="626">
        <f>IF(E47&lt;G47,G47/E47-1,E47/G47-1)</f>
        <v>0.26400000000000001</v>
      </c>
      <c r="F54" s="627" t="str">
        <f>IF(OR(E54&gt;=0.3,E54&lt;=-0.3),"超过30%","")</f>
        <v/>
      </c>
      <c r="G54" s="626">
        <f>IF(G47&lt;I47,I47/G47-1,G47/I47-1)</f>
        <v>8.6956521739130377E-2</v>
      </c>
      <c r="H54" s="627" t="str">
        <f>IF(OR(G54&gt;=0.3,G54&lt;=-0.3),"超过30%","")</f>
        <v/>
      </c>
      <c r="I54" s="626">
        <f>IF(I47&lt;E47,E47/I47-1,I47/E47-1)</f>
        <v>0.37391304347826093</v>
      </c>
      <c r="J54" s="627" t="str">
        <f>IF(OR(I54&gt;=0.3,I54&lt;=-0.3),"超过30%","")</f>
        <v>超过30%</v>
      </c>
      <c r="K54" s="3315"/>
      <c r="L54" s="2048"/>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9"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v>100</v>
      </c>
      <c r="E59" s="650">
        <v>100</v>
      </c>
      <c r="F59" s="650">
        <v>99</v>
      </c>
      <c r="G59" s="650">
        <v>99</v>
      </c>
      <c r="H59" s="650">
        <v>99</v>
      </c>
      <c r="I59" s="650">
        <v>98</v>
      </c>
      <c r="J59" s="650">
        <v>98</v>
      </c>
      <c r="K59" s="650">
        <v>98</v>
      </c>
      <c r="L59" s="650">
        <v>97</v>
      </c>
      <c r="M59" s="650">
        <v>97</v>
      </c>
      <c r="N59" s="650">
        <v>97</v>
      </c>
      <c r="O59" s="650">
        <v>96</v>
      </c>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891"/>
    </row>
    <row r="63" spans="1:29">
      <c r="A63" s="664" t="s">
        <v>575</v>
      </c>
      <c r="B63" s="665" t="s">
        <v>532</v>
      </c>
      <c r="C63" s="704" t="str">
        <f>C9</f>
        <v>住宅</v>
      </c>
      <c r="D63" s="3304"/>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v>100</v>
      </c>
      <c r="D64" s="671"/>
      <c r="E64" s="1610"/>
      <c r="F64" s="1610"/>
      <c r="G64" s="1610"/>
      <c r="H64" s="1610"/>
      <c r="I64" s="1610"/>
      <c r="J64" s="1610"/>
      <c r="K64" s="1610"/>
      <c r="L64" s="1610"/>
      <c r="M64" s="1611"/>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1（含）-1.5</v>
      </c>
      <c r="D67" s="682" t="str">
        <f t="shared" ref="D67:L67" si="18">D68&amp;"（含）"&amp;"-"&amp;E68</f>
        <v>1.5（含）-2</v>
      </c>
      <c r="E67" s="682" t="str">
        <f t="shared" si="18"/>
        <v>2（含）-2.5</v>
      </c>
      <c r="F67" s="682" t="str">
        <f t="shared" si="18"/>
        <v>2.5（含）-3</v>
      </c>
      <c r="G67" s="682" t="str">
        <f t="shared" si="18"/>
        <v>3（含）-3.5</v>
      </c>
      <c r="H67" s="682" t="str">
        <f t="shared" si="18"/>
        <v>3.5（含）-</v>
      </c>
      <c r="I67" s="682" t="str">
        <f t="shared" si="18"/>
        <v>（含）-</v>
      </c>
      <c r="J67" s="682" t="str">
        <f t="shared" si="18"/>
        <v>（含）-</v>
      </c>
      <c r="K67" s="682" t="str">
        <f t="shared" si="18"/>
        <v>（含）-</v>
      </c>
      <c r="L67" s="682" t="str">
        <f t="shared" si="18"/>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v>1</v>
      </c>
      <c r="D68" s="541">
        <v>1.5</v>
      </c>
      <c r="E68" s="541">
        <v>2</v>
      </c>
      <c r="F68" s="541">
        <v>2.5</v>
      </c>
      <c r="G68" s="541">
        <v>3</v>
      </c>
      <c r="H68" s="541">
        <v>3.5</v>
      </c>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064"/>
      <c r="O69" s="2064"/>
      <c r="P69" s="2063"/>
      <c r="Q69" s="2056"/>
      <c r="R69" s="2043"/>
      <c r="S69" s="2043"/>
      <c r="T69" s="2043"/>
      <c r="U69" s="2043"/>
      <c r="V69" s="2043"/>
      <c r="W69" s="2043"/>
      <c r="X69" s="2043"/>
      <c r="Y69" s="2043"/>
      <c r="Z69" s="2043"/>
      <c r="AA69" s="2043"/>
      <c r="AB69" s="2043"/>
      <c r="AC69" s="2043"/>
    </row>
    <row r="70" spans="1:29" s="1339" customFormat="1" ht="15.75" hidden="1" thickTop="1">
      <c r="A70" s="687"/>
      <c r="B70" s="673">
        <f>B12</f>
        <v>0</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hidden="1"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hidden="1" thickTop="1">
      <c r="A72" s="687"/>
      <c r="B72" s="673">
        <f>B13</f>
        <v>0</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hidden="1" thickBot="1">
      <c r="A73" s="687"/>
      <c r="B73" s="678"/>
      <c r="C73" s="692"/>
      <c r="D73" s="692"/>
      <c r="E73" s="692"/>
      <c r="F73" s="692"/>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hidden="1" thickTop="1">
      <c r="A74" s="687"/>
      <c r="B74" s="681">
        <f>B14</f>
        <v>0</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hidden="1"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ht="15" thickTop="1">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95</v>
      </c>
      <c r="E77" s="679">
        <f>D77-$K15</f>
        <v>90</v>
      </c>
      <c r="F77" s="679">
        <f>E77-$K15</f>
        <v>85</v>
      </c>
      <c r="G77" s="679">
        <f>F77-$K15</f>
        <v>80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98</v>
      </c>
      <c r="E79" s="679">
        <f>D79-$K17</f>
        <v>96</v>
      </c>
      <c r="F79" s="679">
        <f>E79-$K17</f>
        <v>94</v>
      </c>
      <c r="G79" s="679">
        <f>F79-$K17</f>
        <v>92</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95</v>
      </c>
      <c r="E81" s="679">
        <f>D81-$K19</f>
        <v>90</v>
      </c>
      <c r="F81" s="679">
        <f>E81-$K19</f>
        <v>85</v>
      </c>
      <c r="G81" s="679">
        <f>F81-$K19</f>
        <v>80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98</v>
      </c>
      <c r="E83" s="679">
        <f>D83-$K21</f>
        <v>96</v>
      </c>
      <c r="F83" s="679">
        <f>E83-$K21</f>
        <v>94</v>
      </c>
      <c r="G83" s="679">
        <f>F83-$K21</f>
        <v>92</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95</v>
      </c>
      <c r="E85" s="679">
        <f>D85-$K23</f>
        <v>90</v>
      </c>
      <c r="F85" s="679">
        <f>E85-$K23</f>
        <v>85</v>
      </c>
      <c r="G85" s="679">
        <f>F85-$K23</f>
        <v>80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hidden="1" thickTop="1">
      <c r="A86" s="709"/>
      <c r="B86" s="1794" t="s">
        <v>2255</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064"/>
      <c r="O87" s="2064"/>
      <c r="P87" s="2063"/>
      <c r="Q87" s="2056"/>
      <c r="R87" s="1891"/>
      <c r="S87" s="1891"/>
      <c r="T87" s="1891"/>
      <c r="U87" s="1891"/>
      <c r="V87" s="1891"/>
      <c r="W87" s="1891"/>
      <c r="X87" s="1891"/>
      <c r="Y87" s="1891"/>
      <c r="Z87" s="1891"/>
      <c r="AA87" s="1891"/>
      <c r="AB87" s="1891"/>
      <c r="AC87" s="1891"/>
    </row>
    <row r="88" spans="1:29" s="1220" customFormat="1" ht="15.75" hidden="1" thickTop="1">
      <c r="A88" s="709"/>
      <c r="B88" s="673" t="s">
        <v>744</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道路级别</v>
      </c>
      <c r="C90" s="3306" t="s">
        <v>3128</v>
      </c>
      <c r="D90" s="3306" t="s">
        <v>3133</v>
      </c>
      <c r="E90" s="3306" t="s">
        <v>3129</v>
      </c>
      <c r="F90" s="3306" t="s">
        <v>3131</v>
      </c>
      <c r="G90" s="3306" t="s">
        <v>3132</v>
      </c>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692">
        <v>100</v>
      </c>
      <c r="D91" s="692">
        <v>98</v>
      </c>
      <c r="E91" s="692">
        <v>96</v>
      </c>
      <c r="F91" s="692">
        <v>94</v>
      </c>
      <c r="G91" s="692">
        <v>92</v>
      </c>
      <c r="H91" s="693"/>
      <c r="I91" s="693"/>
      <c r="J91" s="693"/>
      <c r="K91" s="693"/>
      <c r="L91" s="693"/>
      <c r="M91" s="694"/>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距石化区</v>
      </c>
      <c r="C92" s="3306" t="s">
        <v>3165</v>
      </c>
      <c r="D92" s="688" t="s">
        <v>3166</v>
      </c>
      <c r="E92" s="688"/>
      <c r="F92" s="688"/>
      <c r="G92" s="718"/>
      <c r="H92" s="718"/>
      <c r="I92" s="718"/>
      <c r="J92" s="718"/>
      <c r="K92" s="719"/>
      <c r="L92" s="720"/>
      <c r="M92" s="72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92">
        <v>100</v>
      </c>
      <c r="D93" s="671">
        <v>105</v>
      </c>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t="str">
        <f>B29</f>
        <v>景观</v>
      </c>
      <c r="C94" s="3306" t="s">
        <v>3134</v>
      </c>
      <c r="D94" s="3306" t="s">
        <v>3135</v>
      </c>
      <c r="E94" s="3306" t="s">
        <v>3157</v>
      </c>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v>100</v>
      </c>
      <c r="D95" s="692">
        <v>80</v>
      </c>
      <c r="E95" s="692"/>
      <c r="F95" s="692"/>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0</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700"/>
      <c r="D97" s="700"/>
      <c r="E97" s="700"/>
      <c r="F97" s="700"/>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0</v>
      </c>
      <c r="C98" s="722"/>
      <c r="D98" s="722"/>
      <c r="E98" s="722"/>
      <c r="F98" s="722"/>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26"/>
      <c r="D99" s="726"/>
      <c r="E99" s="726"/>
      <c r="F99" s="726"/>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745</v>
      </c>
      <c r="C100" s="3304" t="s">
        <v>3216</v>
      </c>
      <c r="D100" s="3304" t="s">
        <v>3215</v>
      </c>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100(含)-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v>100</v>
      </c>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v>100</v>
      </c>
      <c r="D104" s="671">
        <v>100</v>
      </c>
      <c r="E104" s="671"/>
      <c r="F104" s="671"/>
      <c r="G104" s="671"/>
      <c r="H104" s="671"/>
      <c r="I104" s="671"/>
      <c r="J104" s="671"/>
      <c r="K104" s="671"/>
      <c r="L104" s="671"/>
      <c r="M104" s="671"/>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3306" t="s">
        <v>3136</v>
      </c>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748</v>
      </c>
      <c r="C107" s="3307" t="s">
        <v>3138</v>
      </c>
      <c r="D107" s="3307" t="s">
        <v>3139</v>
      </c>
      <c r="E107" s="3307" t="s">
        <v>3140</v>
      </c>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749</v>
      </c>
      <c r="C109" s="3306" t="s">
        <v>3141</v>
      </c>
      <c r="D109" s="3306" t="s">
        <v>3142</v>
      </c>
      <c r="E109" s="688"/>
      <c r="F109" s="718"/>
      <c r="G109" s="718"/>
      <c r="H109" s="71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064"/>
      <c r="O110" s="2064"/>
      <c r="P110" s="2063"/>
      <c r="Q110" s="2056"/>
      <c r="R110" s="2043"/>
      <c r="S110" s="2043"/>
      <c r="T110" s="2043"/>
      <c r="U110" s="2043"/>
      <c r="V110" s="2043"/>
      <c r="W110" s="2043"/>
      <c r="X110" s="2043"/>
      <c r="Y110" s="2043"/>
      <c r="Z110" s="2043"/>
      <c r="AA110" s="2043"/>
      <c r="AB110" s="2043"/>
      <c r="AC110" s="2043"/>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065"/>
      <c r="O111" s="2065"/>
      <c r="P111" s="2066"/>
      <c r="Q111" s="2067"/>
      <c r="R111" s="2068"/>
      <c r="S111" s="2068"/>
      <c r="T111" s="2068"/>
      <c r="U111" s="2068"/>
      <c r="V111" s="2068"/>
      <c r="W111" s="2068"/>
      <c r="X111" s="2068"/>
      <c r="Y111" s="2068"/>
      <c r="Z111" s="2068"/>
      <c r="AA111" s="2068"/>
      <c r="AB111" s="2068"/>
      <c r="AC111" s="2068"/>
    </row>
    <row r="112" spans="1:29" s="1339" customFormat="1">
      <c r="A112" s="728"/>
      <c r="B112" s="681"/>
      <c r="C112" s="894">
        <v>0.5</v>
      </c>
      <c r="D112" s="894">
        <v>0.6</v>
      </c>
      <c r="E112" s="894">
        <v>0.7</v>
      </c>
      <c r="F112" s="894">
        <v>0.8</v>
      </c>
      <c r="G112" s="894">
        <v>0.9</v>
      </c>
      <c r="H112" s="894">
        <v>1.0001</v>
      </c>
      <c r="I112" s="894"/>
      <c r="J112" s="895"/>
      <c r="K112" s="895"/>
      <c r="L112" s="896"/>
      <c r="M112" s="897"/>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751</v>
      </c>
      <c r="C114" s="3306" t="s">
        <v>3144</v>
      </c>
      <c r="D114" s="3306" t="s">
        <v>3145</v>
      </c>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1794" t="s">
        <v>2553</v>
      </c>
      <c r="C116" s="3306" t="s">
        <v>3146</v>
      </c>
      <c r="D116" s="3306" t="s">
        <v>3148</v>
      </c>
      <c r="E116" s="3306" t="s">
        <v>3149</v>
      </c>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752</v>
      </c>
      <c r="C118" s="3307" t="s">
        <v>3151</v>
      </c>
      <c r="D118" s="3307" t="s">
        <v>3152</v>
      </c>
      <c r="E118" s="718"/>
      <c r="F118" s="718"/>
      <c r="G118" s="71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79">
        <v>100</v>
      </c>
      <c r="D119" s="679">
        <f t="shared" ref="D119:M119" si="28">C119-$K40</f>
        <v>0</v>
      </c>
      <c r="E119" s="679">
        <f t="shared" si="28"/>
        <v>-100</v>
      </c>
      <c r="F119" s="679">
        <f t="shared" si="28"/>
        <v>-200</v>
      </c>
      <c r="G119" s="679">
        <f t="shared" si="28"/>
        <v>-300</v>
      </c>
      <c r="H119" s="679">
        <f t="shared" si="28"/>
        <v>-400</v>
      </c>
      <c r="I119" s="679">
        <f t="shared" si="28"/>
        <v>-500</v>
      </c>
      <c r="J119" s="679">
        <f t="shared" si="28"/>
        <v>-600</v>
      </c>
      <c r="K119" s="679">
        <f t="shared" si="28"/>
        <v>-700</v>
      </c>
      <c r="L119" s="679">
        <f t="shared" si="28"/>
        <v>-800</v>
      </c>
      <c r="M119" s="679">
        <f t="shared" si="28"/>
        <v>-900</v>
      </c>
      <c r="N119" s="2064"/>
      <c r="O119" s="2064"/>
      <c r="P119" s="2063"/>
      <c r="Q119" s="2056"/>
      <c r="R119" s="2043"/>
      <c r="S119" s="2043"/>
      <c r="T119" s="2043"/>
      <c r="U119" s="2043"/>
      <c r="V119" s="2043"/>
      <c r="W119" s="2043"/>
      <c r="X119" s="2043"/>
      <c r="Y119" s="2043"/>
      <c r="Z119" s="2043"/>
      <c r="AA119" s="2043"/>
      <c r="AB119" s="2043"/>
      <c r="AC119" s="2043"/>
    </row>
    <row r="120" spans="1:29" s="1339" customFormat="1" ht="28.5" thickTop="1">
      <c r="A120" s="728"/>
      <c r="B120" s="673" t="s">
        <v>731</v>
      </c>
      <c r="C120" s="688"/>
      <c r="D120" s="688"/>
      <c r="E120" s="688"/>
      <c r="F120" s="688"/>
      <c r="G120" s="688"/>
      <c r="H120" s="688"/>
      <c r="I120" s="688"/>
      <c r="J120" s="688"/>
      <c r="K120" s="688"/>
      <c r="L120" s="890"/>
      <c r="M120" s="8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692"/>
      <c r="D121" s="671"/>
      <c r="E121" s="671"/>
      <c r="F121" s="671"/>
      <c r="G121" s="671"/>
      <c r="H121" s="671"/>
      <c r="I121" s="671"/>
      <c r="J121" s="671"/>
      <c r="K121" s="671"/>
      <c r="L121" s="671"/>
      <c r="M121" s="671"/>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3306" t="s">
        <v>3141</v>
      </c>
      <c r="D122" s="3306" t="s">
        <v>3153</v>
      </c>
      <c r="E122" s="3306" t="s">
        <v>3154</v>
      </c>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0</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0</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92"/>
      <c r="E129" s="692"/>
      <c r="F129" s="692"/>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0</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3" t="s">
        <v>2256</v>
      </c>
      <c r="C136" s="1814"/>
      <c r="D136" s="1814"/>
      <c r="E136" s="1814"/>
      <c r="F136" s="1814"/>
      <c r="G136" s="1814"/>
      <c r="H136" s="1814"/>
      <c r="I136" s="1814"/>
      <c r="J136" s="1814"/>
      <c r="K136" s="1815"/>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6" t="s">
        <v>2257</v>
      </c>
      <c r="C137" s="1817"/>
      <c r="D137" s="1817"/>
      <c r="E137" s="1817"/>
      <c r="F137" s="1817"/>
      <c r="G137" s="1818"/>
      <c r="H137" s="1819"/>
      <c r="I137" s="1820" t="s">
        <v>2258</v>
      </c>
      <c r="J137" s="1817"/>
      <c r="K137" s="1821"/>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2"/>
      <c r="C138" s="1823" t="s">
        <v>2259</v>
      </c>
      <c r="D138" s="1823" t="s">
        <v>2260</v>
      </c>
      <c r="E138" s="1824" t="s">
        <v>2261</v>
      </c>
      <c r="F138" s="1825" t="s">
        <v>2262</v>
      </c>
      <c r="G138" s="1823" t="s">
        <v>2263</v>
      </c>
      <c r="H138" s="1826" t="s">
        <v>2264</v>
      </c>
      <c r="I138" s="1827"/>
      <c r="J138" s="1823" t="s">
        <v>2265</v>
      </c>
      <c r="K138" s="1826" t="s">
        <v>2266</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5">
        <v>6</v>
      </c>
      <c r="C139" s="1796">
        <v>96</v>
      </c>
      <c r="D139" s="1828" t="s">
        <v>2267</v>
      </c>
      <c r="E139" s="1797">
        <v>100</v>
      </c>
      <c r="F139" s="1798">
        <v>102.5</v>
      </c>
      <c r="G139" s="1828" t="s">
        <v>2268</v>
      </c>
      <c r="H139" s="1799">
        <v>105</v>
      </c>
      <c r="I139" s="1829" t="s">
        <v>2269</v>
      </c>
      <c r="J139" s="1796">
        <v>20</v>
      </c>
      <c r="K139" s="1800">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1">
        <v>5</v>
      </c>
      <c r="C140" s="1802">
        <v>100</v>
      </c>
      <c r="D140" s="1830"/>
      <c r="E140" s="1803"/>
      <c r="F140" s="1804">
        <v>102</v>
      </c>
      <c r="G140" s="1830"/>
      <c r="H140" s="1805"/>
      <c r="I140" s="1831" t="s">
        <v>2270</v>
      </c>
      <c r="J140" s="846">
        <f>ROUNDUP((J139-1)/2,0)</f>
        <v>10</v>
      </c>
      <c r="K140" s="1806">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1">
        <v>4</v>
      </c>
      <c r="C141" s="1802">
        <v>102</v>
      </c>
      <c r="D141" s="1830"/>
      <c r="E141" s="1803"/>
      <c r="F141" s="1804">
        <v>101.5</v>
      </c>
      <c r="G141" s="1830"/>
      <c r="H141" s="1805"/>
      <c r="I141" s="1831" t="s">
        <v>2271</v>
      </c>
      <c r="J141" s="846">
        <v>1</v>
      </c>
      <c r="K141" s="1807">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1">
        <v>3</v>
      </c>
      <c r="C142" s="1802">
        <v>103</v>
      </c>
      <c r="D142" s="1830"/>
      <c r="E142" s="1803"/>
      <c r="F142" s="1804">
        <v>101</v>
      </c>
      <c r="G142" s="1830"/>
      <c r="H142" s="1805"/>
      <c r="I142" s="1831" t="s">
        <v>2272</v>
      </c>
      <c r="J142" s="846">
        <f>J139</f>
        <v>20</v>
      </c>
      <c r="K142" s="1808">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1">
        <v>2</v>
      </c>
      <c r="C143" s="1802">
        <v>100</v>
      </c>
      <c r="D143" s="1830"/>
      <c r="E143" s="1803"/>
      <c r="F143" s="1804">
        <v>100.5</v>
      </c>
      <c r="G143" s="1830"/>
      <c r="H143" s="1805"/>
      <c r="I143" s="1831" t="s">
        <v>2273</v>
      </c>
      <c r="J143" s="1802">
        <v>15</v>
      </c>
      <c r="K143" s="1807">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1">
        <v>1</v>
      </c>
      <c r="C144" s="1802">
        <v>98</v>
      </c>
      <c r="D144" s="1832" t="s">
        <v>2274</v>
      </c>
      <c r="E144" s="1803">
        <v>102</v>
      </c>
      <c r="F144" s="1809">
        <v>100</v>
      </c>
      <c r="G144" s="1832" t="s">
        <v>2274</v>
      </c>
      <c r="H144" s="1805">
        <v>105</v>
      </c>
      <c r="I144" s="1831" t="s">
        <v>2273</v>
      </c>
      <c r="J144" s="1802">
        <v>18</v>
      </c>
      <c r="K144" s="1807">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3" t="s">
        <v>2275</v>
      </c>
      <c r="C145" s="1810">
        <f>ROUND(MAX(C139:C144)/MIN(C139:C144)-1,3)</f>
        <v>7.2999999999999995E-2</v>
      </c>
      <c r="D145" s="1834"/>
      <c r="E145" s="1834"/>
      <c r="F145" s="1835" t="s">
        <v>2276</v>
      </c>
      <c r="G145" s="1836"/>
      <c r="H145" s="1837"/>
      <c r="I145" s="1838" t="s">
        <v>2273</v>
      </c>
      <c r="J145" s="1811">
        <v>8</v>
      </c>
      <c r="K145" s="1812">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7" t="s">
        <v>2285</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7" t="s">
        <v>2286</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267"/>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1959"/>
      <c r="F3" s="2027"/>
      <c r="G3" s="2026"/>
      <c r="H3" s="2026"/>
      <c r="I3" s="2026"/>
      <c r="J3" s="2026"/>
      <c r="K3" s="2028"/>
      <c r="L3" s="2029"/>
      <c r="M3" s="2030"/>
      <c r="N3" s="2030"/>
      <c r="O3" s="2030"/>
      <c r="P3" s="1565"/>
      <c r="Q3" s="1565"/>
      <c r="R3" s="1565"/>
      <c r="S3" s="1565"/>
      <c r="T3" s="1565"/>
      <c r="U3" s="1565"/>
      <c r="V3" s="1565"/>
      <c r="W3" s="1565"/>
      <c r="X3" s="1565"/>
      <c r="Y3" s="1565"/>
      <c r="Z3" s="1565"/>
      <c r="AA3" s="1565"/>
      <c r="AB3" s="1565"/>
      <c r="AC3" s="428"/>
    </row>
    <row r="4" spans="1:29" ht="15">
      <c r="A4" s="512" t="s">
        <v>519</v>
      </c>
      <c r="B4" s="513"/>
      <c r="C4" s="3556" t="s">
        <v>520</v>
      </c>
      <c r="D4" s="3557"/>
      <c r="E4" s="3579" t="s">
        <v>521</v>
      </c>
      <c r="F4" s="3580"/>
      <c r="G4" s="3556" t="s">
        <v>522</v>
      </c>
      <c r="H4" s="3557"/>
      <c r="I4" s="3556" t="s">
        <v>523</v>
      </c>
      <c r="J4" s="3557"/>
      <c r="K4" s="514" t="s">
        <v>524</v>
      </c>
      <c r="L4" s="2031"/>
      <c r="M4" s="2032"/>
      <c r="N4" s="2032"/>
      <c r="O4" s="2032"/>
      <c r="P4" s="3558" t="s">
        <v>525</v>
      </c>
      <c r="Q4" s="3559"/>
      <c r="R4" s="3544" t="s">
        <v>521</v>
      </c>
      <c r="S4" s="3545"/>
      <c r="T4" s="3544" t="s">
        <v>522</v>
      </c>
      <c r="U4" s="3545"/>
      <c r="V4" s="3564" t="s">
        <v>523</v>
      </c>
      <c r="W4" s="3564"/>
      <c r="X4" s="1568"/>
      <c r="Y4" s="3544" t="s">
        <v>525</v>
      </c>
      <c r="Z4" s="3545"/>
      <c r="AA4" s="3539" t="s">
        <v>521</v>
      </c>
      <c r="AB4" s="3564" t="s">
        <v>522</v>
      </c>
      <c r="AC4" s="3539" t="s">
        <v>523</v>
      </c>
    </row>
    <row r="5" spans="1:29" ht="15">
      <c r="A5" s="515"/>
      <c r="B5" s="516"/>
      <c r="C5" s="3583" t="s">
        <v>2916</v>
      </c>
      <c r="D5" s="3568"/>
      <c r="E5" s="3581" t="s">
        <v>2917</v>
      </c>
      <c r="F5" s="3582"/>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64"/>
      <c r="AC5" s="3540"/>
    </row>
    <row r="6" spans="1:29" ht="15.75" thickBot="1">
      <c r="A6" s="517"/>
      <c r="B6" s="518"/>
      <c r="C6" s="3584" t="s">
        <v>2920</v>
      </c>
      <c r="D6" s="3585"/>
      <c r="E6" s="3586" t="s">
        <v>2920</v>
      </c>
      <c r="F6" s="3587"/>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64"/>
      <c r="AC6" s="3541"/>
    </row>
    <row r="7" spans="1:29" s="1220" customFormat="1" ht="15.75" thickBot="1">
      <c r="A7" s="2827"/>
      <c r="B7" s="2834" t="s">
        <v>527</v>
      </c>
      <c r="C7" s="519">
        <f>'数据-取费表'!B2</f>
        <v>43095</v>
      </c>
      <c r="D7" s="520">
        <v>100</v>
      </c>
      <c r="E7" s="521"/>
      <c r="F7" s="522">
        <f>SUMIF(58:58,YEAR(E7)&amp;"-"&amp;MONTH(E7),59:59)</f>
        <v>0</v>
      </c>
      <c r="G7" s="521"/>
      <c r="H7" s="520">
        <f>SUMIF(58:58,YEAR(G7)&amp;"-"&amp;MONTH(G7),59:59)</f>
        <v>0</v>
      </c>
      <c r="I7" s="521"/>
      <c r="J7" s="520">
        <f>SUMIF(58:58,YEAR(I7)&amp;"-"&amp;MONTH(I7),59:59)</f>
        <v>0</v>
      </c>
      <c r="K7" s="524"/>
      <c r="L7" s="2033"/>
      <c r="M7" s="2034"/>
      <c r="N7" s="2034"/>
      <c r="O7" s="2034"/>
      <c r="P7" s="3542" t="s">
        <v>528</v>
      </c>
      <c r="Q7" s="3551"/>
      <c r="R7" s="1569" t="s">
        <v>8</v>
      </c>
      <c r="S7" s="1570">
        <f t="shared" ref="S7:S15" si="0">F7</f>
        <v>0</v>
      </c>
      <c r="T7" s="1569" t="s">
        <v>8</v>
      </c>
      <c r="U7" s="1570">
        <f t="shared" ref="U7:U15" si="1">H7</f>
        <v>0</v>
      </c>
      <c r="V7" s="1569" t="s">
        <v>8</v>
      </c>
      <c r="W7" s="1570">
        <f t="shared" ref="W7:W15" si="2">J7</f>
        <v>0</v>
      </c>
      <c r="X7" s="1571"/>
      <c r="Y7" s="3542" t="s">
        <v>528</v>
      </c>
      <c r="Z7" s="3543"/>
      <c r="AA7" s="1572" t="e">
        <f>D7/F7</f>
        <v>#DIV/0!</v>
      </c>
      <c r="AB7" s="1572" t="e">
        <f>D7/H7</f>
        <v>#DIV/0!</v>
      </c>
      <c r="AC7" s="1572" t="e">
        <f>D7/J7</f>
        <v>#DIV/0!</v>
      </c>
    </row>
    <row r="8" spans="1:29" s="1220" customFormat="1" ht="15.75" thickBot="1">
      <c r="A8" s="2828"/>
      <c r="B8" s="2835" t="s">
        <v>529</v>
      </c>
      <c r="C8" s="525" t="s">
        <v>574</v>
      </c>
      <c r="D8" s="520">
        <v>100</v>
      </c>
      <c r="E8" s="525"/>
      <c r="F8" s="522">
        <f>SUMIF(61:61,E8,62:62)-SUMIF(61:61,C8,62:62)+100</f>
        <v>0</v>
      </c>
      <c r="G8" s="525"/>
      <c r="H8" s="520">
        <f>SUMIF(61:61,G8,62:62)-SUMIF(61:61,C8,62:62)+100</f>
        <v>0</v>
      </c>
      <c r="I8" s="525"/>
      <c r="J8" s="520">
        <f>SUMIF(61:61,I8,62:62)-SUMIF(61:61,C8,62:62)+100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46" si="3">D8/F8</f>
        <v>#DIV/0!</v>
      </c>
      <c r="AB8" s="1572" t="e">
        <f t="shared" ref="AB8:AB46" si="4">D8/H8</f>
        <v>#DIV/0!</v>
      </c>
      <c r="AC8" s="1572" t="e">
        <f t="shared" ref="AC8:AC46" si="5">D8/J8</f>
        <v>#DIV/0!</v>
      </c>
    </row>
    <row r="9" spans="1:29" s="1220" customFormat="1" ht="15">
      <c r="A9" s="2829"/>
      <c r="B9" s="2836" t="s">
        <v>2755</v>
      </c>
      <c r="C9" s="857"/>
      <c r="D9" s="254">
        <v>100</v>
      </c>
      <c r="E9" s="860"/>
      <c r="F9" s="254">
        <f>SUMIF(63:63,E9,64:64)-SUMIF(63:63,C9,64:64)+100</f>
        <v>100</v>
      </c>
      <c r="G9" s="858"/>
      <c r="H9" s="254">
        <f>SUMIF(63:63,G9,64:64)-SUMIF(63:63,C9,64:64)+100</f>
        <v>100</v>
      </c>
      <c r="I9" s="858"/>
      <c r="J9" s="254">
        <f>SUMIF(63:63,I9,64:64)-SUMIF(63:63,C9,64:64)+100</f>
        <v>100</v>
      </c>
      <c r="K9" s="524"/>
      <c r="L9" s="2033"/>
      <c r="M9" s="2034"/>
      <c r="N9" s="2034"/>
      <c r="O9" s="2035"/>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SUMIF(65:65,E10,66:66)-SUMIF(65:65,C10,66:66)+100</f>
        <v>100</v>
      </c>
      <c r="G10" s="862"/>
      <c r="H10" s="255">
        <f>SUMIF(65:65,G10,66:66)-SUMIF(65:65,C10,66:66)+100</f>
        <v>100</v>
      </c>
      <c r="I10" s="861"/>
      <c r="J10" s="255">
        <f>SUMIF(65:65,I10,66:66)-SUMIF(65:65,C10,66:66)+100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038"/>
      <c r="M11" s="2032"/>
      <c r="N11" s="2032"/>
      <c r="O11" s="2039"/>
      <c r="P11" s="3550"/>
      <c r="Q11" s="1151" t="str">
        <f t="shared" si="6"/>
        <v>容积率</v>
      </c>
      <c r="R11" s="1569" t="s">
        <v>8</v>
      </c>
      <c r="S11" s="1570" t="e">
        <f t="shared" si="0"/>
        <v>#N/A</v>
      </c>
      <c r="T11" s="1569" t="s">
        <v>8</v>
      </c>
      <c r="U11" s="1570" t="e">
        <f t="shared" si="1"/>
        <v>#N/A</v>
      </c>
      <c r="V11" s="1569" t="s">
        <v>8</v>
      </c>
      <c r="W11" s="1570" t="e">
        <f t="shared" si="2"/>
        <v>#N/A</v>
      </c>
      <c r="X11" s="1571"/>
      <c r="Y11" s="3507"/>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SUMIF(70:70,E12,71:71)-SUMIF(70:70,C12,71:71)+100</f>
        <v>100</v>
      </c>
      <c r="G12" s="912"/>
      <c r="H12" s="255">
        <f>SUMIF(70:70,G12,71:71)-SUMIF(70:70,C12,71:71)+100</f>
        <v>100</v>
      </c>
      <c r="I12" s="539"/>
      <c r="J12" s="255">
        <f>SUMIF(70:70,I12,71:71)-SUMIF(70:70,C12,71:71)+100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
      <c r="A13" s="2832"/>
      <c r="B13" s="2838">
        <v>111</v>
      </c>
      <c r="C13" s="539"/>
      <c r="D13" s="540">
        <v>100</v>
      </c>
      <c r="E13" s="539"/>
      <c r="F13" s="255">
        <f>SUMIF(72:72,E13,73:73)-SUMIF(72:72,C13,73:73)+100</f>
        <v>100</v>
      </c>
      <c r="G13" s="912"/>
      <c r="H13" s="540">
        <f>SUMIF(72:72,G13,73:73)-SUMIF(72:72,C13,73:73)+100</f>
        <v>100</v>
      </c>
      <c r="I13" s="539"/>
      <c r="J13" s="540">
        <f>SUMIF(72:72,I13,73:73)-SUMIF(72:72,C13,73:73)+100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75" thickBot="1">
      <c r="A14" s="2833"/>
      <c r="B14" s="2839">
        <v>111</v>
      </c>
      <c r="C14" s="545"/>
      <c r="D14" s="546">
        <v>100</v>
      </c>
      <c r="E14" s="545"/>
      <c r="F14" s="546">
        <f>SUMIF(74:74,E14,75:75)-SUMIF(74:74,C14,75:75)+100</f>
        <v>100</v>
      </c>
      <c r="G14" s="912"/>
      <c r="H14" s="546">
        <f>SUMIF(74:74,G14,75:75)-SUMIF(74:74,C14,75:75)+100</f>
        <v>100</v>
      </c>
      <c r="I14" s="539"/>
      <c r="J14" s="546">
        <f>SUMIF(74:74,I14,75:75)-SUMIF(74:74,C14,75:75)+100</f>
        <v>100</v>
      </c>
      <c r="K14" s="581"/>
      <c r="L14" s="2040"/>
      <c r="M14" s="2032"/>
      <c r="N14" s="2032"/>
      <c r="O14" s="2039"/>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 t="shared" si="3"/>
        <v>1</v>
      </c>
      <c r="AB14" s="1572">
        <f t="shared" si="4"/>
        <v>1</v>
      </c>
      <c r="AC14" s="1572">
        <f t="shared" si="5"/>
        <v>1</v>
      </c>
    </row>
    <row r="15" spans="1:29" ht="15">
      <c r="A15" s="2825" t="s">
        <v>2753</v>
      </c>
      <c r="B15" s="166" t="s">
        <v>539</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040"/>
      <c r="M15" s="2032"/>
      <c r="N15" s="2032"/>
      <c r="O15" s="2039"/>
      <c r="P15" s="3552" t="s">
        <v>538</v>
      </c>
      <c r="Q15" s="1573" t="str">
        <f t="shared" si="6"/>
        <v>商业繁华度</v>
      </c>
      <c r="R15" s="1574" t="s">
        <v>8</v>
      </c>
      <c r="S15" s="1575">
        <f t="shared" si="0"/>
        <v>100</v>
      </c>
      <c r="T15" s="1574" t="s">
        <v>8</v>
      </c>
      <c r="U15" s="1575">
        <f t="shared" si="1"/>
        <v>100</v>
      </c>
      <c r="V15" s="1574" t="s">
        <v>8</v>
      </c>
      <c r="W15" s="1575">
        <f t="shared" si="2"/>
        <v>100</v>
      </c>
      <c r="X15" s="1568"/>
      <c r="Y15" s="3552"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53"/>
      <c r="Q16" s="1573"/>
      <c r="R16" s="1574"/>
      <c r="S16" s="1575"/>
      <c r="T16" s="1574"/>
      <c r="U16" s="1575"/>
      <c r="V16" s="1574"/>
      <c r="W16" s="1575"/>
      <c r="X16" s="1568"/>
      <c r="Y16" s="3553"/>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040"/>
      <c r="M17" s="2032"/>
      <c r="N17" s="2032"/>
      <c r="O17" s="2039"/>
      <c r="P17" s="3553"/>
      <c r="Q17" s="1573" t="str">
        <f>B17</f>
        <v>交通便捷度</v>
      </c>
      <c r="R17" s="1574" t="s">
        <v>8</v>
      </c>
      <c r="S17" s="1575">
        <f>F17</f>
        <v>100</v>
      </c>
      <c r="T17" s="1574" t="s">
        <v>8</v>
      </c>
      <c r="U17" s="1575">
        <f>H17</f>
        <v>100</v>
      </c>
      <c r="V17" s="1574" t="s">
        <v>8</v>
      </c>
      <c r="W17" s="1575">
        <f>J17</f>
        <v>100</v>
      </c>
      <c r="X17" s="1568"/>
      <c r="Y17" s="355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040"/>
      <c r="M19" s="2032"/>
      <c r="N19" s="2032"/>
      <c r="O19" s="2039"/>
      <c r="P19" s="3553"/>
      <c r="Q19" s="1573" t="str">
        <f>B19</f>
        <v>公共配套设施</v>
      </c>
      <c r="R19" s="1574" t="s">
        <v>8</v>
      </c>
      <c r="S19" s="1575">
        <f>F19</f>
        <v>100</v>
      </c>
      <c r="T19" s="1574" t="s">
        <v>8</v>
      </c>
      <c r="U19" s="1575">
        <f>H19</f>
        <v>100</v>
      </c>
      <c r="V19" s="1574" t="s">
        <v>8</v>
      </c>
      <c r="W19" s="1575">
        <f>J19</f>
        <v>100</v>
      </c>
      <c r="X19" s="1568"/>
      <c r="Y19" s="355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040"/>
      <c r="M20" s="2032"/>
      <c r="N20" s="2032"/>
      <c r="O20" s="2039"/>
      <c r="P20" s="3553"/>
      <c r="Q20" s="1573"/>
      <c r="R20" s="1574"/>
      <c r="S20" s="1575"/>
      <c r="T20" s="1574"/>
      <c r="U20" s="1575"/>
      <c r="V20" s="1574"/>
      <c r="W20" s="1575"/>
      <c r="X20" s="1568"/>
      <c r="Y20" s="3553"/>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040"/>
      <c r="M21" s="2032"/>
      <c r="N21" s="2032"/>
      <c r="O21" s="2039"/>
      <c r="P21" s="3553"/>
      <c r="Q21" s="2498" t="str">
        <f>B21</f>
        <v>基础设施水平</v>
      </c>
      <c r="R21" s="1574" t="s">
        <v>8</v>
      </c>
      <c r="S21" s="1575">
        <f>F21</f>
        <v>100</v>
      </c>
      <c r="T21" s="1574" t="s">
        <v>8</v>
      </c>
      <c r="U21" s="1575">
        <f>H21</f>
        <v>100</v>
      </c>
      <c r="V21" s="1574" t="s">
        <v>8</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21"/>
      <c r="L22" s="2040"/>
      <c r="M22" s="2032"/>
      <c r="N22" s="2032"/>
      <c r="O22" s="2039"/>
      <c r="P22" s="3553"/>
      <c r="Q22" s="2498"/>
      <c r="R22" s="1574"/>
      <c r="S22" s="1575"/>
      <c r="T22" s="1574"/>
      <c r="U22" s="1575"/>
      <c r="V22" s="1574"/>
      <c r="W22" s="1575"/>
      <c r="X22" s="2500"/>
      <c r="Y22" s="3553"/>
      <c r="Z22" s="2499"/>
      <c r="AA22" s="1577">
        <v>1</v>
      </c>
      <c r="AB22" s="1577">
        <v>1</v>
      </c>
      <c r="AC22" s="1577">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040"/>
      <c r="M23" s="2032"/>
      <c r="N23" s="2032"/>
      <c r="O23" s="2039"/>
      <c r="P23" s="3553"/>
      <c r="Q23" s="1573" t="str">
        <f>B23</f>
        <v>自然及人文环境</v>
      </c>
      <c r="R23" s="1574" t="s">
        <v>8</v>
      </c>
      <c r="S23" s="1575">
        <f>F23</f>
        <v>100</v>
      </c>
      <c r="T23" s="1574" t="s">
        <v>8</v>
      </c>
      <c r="U23" s="1575">
        <f>H23</f>
        <v>100</v>
      </c>
      <c r="V23" s="1574" t="s">
        <v>8</v>
      </c>
      <c r="W23" s="1575">
        <f>J23</f>
        <v>100</v>
      </c>
      <c r="X23" s="1568"/>
      <c r="Y23" s="355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040"/>
      <c r="M24" s="2032"/>
      <c r="N24" s="2032"/>
      <c r="O24" s="2039"/>
      <c r="P24" s="3553"/>
      <c r="Q24" s="1573"/>
      <c r="R24" s="1574"/>
      <c r="S24" s="1575"/>
      <c r="T24" s="1574"/>
      <c r="U24" s="1575"/>
      <c r="V24" s="1574"/>
      <c r="W24" s="1575"/>
      <c r="X24" s="1568"/>
      <c r="Y24" s="3553"/>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040"/>
      <c r="M25" s="2032"/>
      <c r="N25" s="2032"/>
      <c r="O25" s="2039"/>
      <c r="P25" s="3553"/>
      <c r="Q25" s="1573" t="str">
        <f t="shared" ref="Q25:Q46" si="11">B25</f>
        <v>临街状况</v>
      </c>
      <c r="R25" s="1574" t="s">
        <v>8</v>
      </c>
      <c r="S25" s="1575">
        <f>F25</f>
        <v>100</v>
      </c>
      <c r="T25" s="1574" t="s">
        <v>8</v>
      </c>
      <c r="U25" s="1575">
        <f>H25</f>
        <v>100</v>
      </c>
      <c r="V25" s="1574" t="s">
        <v>8</v>
      </c>
      <c r="W25" s="1575">
        <f>J25</f>
        <v>100</v>
      </c>
      <c r="X25" s="1568"/>
      <c r="Y25" s="3553"/>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040"/>
      <c r="M26" s="2032"/>
      <c r="N26" s="2032"/>
      <c r="O26" s="2039"/>
      <c r="P26" s="3553"/>
      <c r="Q26" s="1573" t="str">
        <f t="shared" si="11"/>
        <v>平面位置/可视性</v>
      </c>
      <c r="R26" s="1574" t="s">
        <v>8</v>
      </c>
      <c r="S26" s="1575">
        <f>F26</f>
        <v>100</v>
      </c>
      <c r="T26" s="1574" t="s">
        <v>8</v>
      </c>
      <c r="U26" s="1575">
        <f>H26</f>
        <v>100</v>
      </c>
      <c r="V26" s="1574" t="s">
        <v>8</v>
      </c>
      <c r="W26" s="1575">
        <f>J26</f>
        <v>100</v>
      </c>
      <c r="X26" s="1568"/>
      <c r="Y26" s="3553"/>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033"/>
      <c r="M27" s="2034"/>
      <c r="N27" s="2034"/>
      <c r="O27" s="2035"/>
      <c r="P27" s="3553"/>
      <c r="Q27" s="1151" t="str">
        <f t="shared" si="11"/>
        <v>人流量</v>
      </c>
      <c r="R27" s="1569" t="s">
        <v>8</v>
      </c>
      <c r="S27" s="1570">
        <f>F27</f>
        <v>100</v>
      </c>
      <c r="T27" s="1569" t="s">
        <v>8</v>
      </c>
      <c r="U27" s="1570">
        <f>H27</f>
        <v>100</v>
      </c>
      <c r="V27" s="1569" t="s">
        <v>8</v>
      </c>
      <c r="W27" s="1570">
        <f>J27</f>
        <v>100</v>
      </c>
      <c r="X27" s="1571"/>
      <c r="Y27" s="3553"/>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040"/>
      <c r="M28" s="2032"/>
      <c r="N28" s="2032"/>
      <c r="O28" s="2039"/>
      <c r="P28" s="355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5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040"/>
      <c r="M29" s="2032"/>
      <c r="N29" s="2032"/>
      <c r="O29" s="2039"/>
      <c r="P29" s="3553"/>
      <c r="Q29" s="1573">
        <f t="shared" si="11"/>
        <v>111</v>
      </c>
      <c r="R29" s="1574" t="s">
        <v>8</v>
      </c>
      <c r="S29" s="1575">
        <f t="shared" si="12"/>
        <v>100</v>
      </c>
      <c r="T29" s="1574" t="s">
        <v>8</v>
      </c>
      <c r="U29" s="1575">
        <f t="shared" si="13"/>
        <v>100</v>
      </c>
      <c r="V29" s="1574" t="s">
        <v>8</v>
      </c>
      <c r="W29" s="1575">
        <f t="shared" si="14"/>
        <v>100</v>
      </c>
      <c r="X29" s="1568"/>
      <c r="Y29" s="355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040"/>
      <c r="M30" s="2032"/>
      <c r="N30" s="2032"/>
      <c r="O30" s="2039"/>
      <c r="P30" s="3553"/>
      <c r="Q30" s="1573">
        <f t="shared" si="11"/>
        <v>111</v>
      </c>
      <c r="R30" s="1574" t="s">
        <v>8</v>
      </c>
      <c r="S30" s="1575">
        <f t="shared" si="12"/>
        <v>100</v>
      </c>
      <c r="T30" s="1574" t="s">
        <v>8</v>
      </c>
      <c r="U30" s="1575">
        <f t="shared" si="13"/>
        <v>100</v>
      </c>
      <c r="V30" s="1574" t="s">
        <v>8</v>
      </c>
      <c r="W30" s="1575">
        <f t="shared" si="14"/>
        <v>100</v>
      </c>
      <c r="X30" s="1568"/>
      <c r="Y30" s="355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040"/>
      <c r="M31" s="2032"/>
      <c r="N31" s="2032"/>
      <c r="O31" s="2039"/>
      <c r="P31" s="3553"/>
      <c r="Q31" s="1573">
        <f t="shared" si="11"/>
        <v>111</v>
      </c>
      <c r="R31" s="1574" t="s">
        <v>8</v>
      </c>
      <c r="S31" s="1575">
        <f t="shared" si="12"/>
        <v>100</v>
      </c>
      <c r="T31" s="1574" t="s">
        <v>8</v>
      </c>
      <c r="U31" s="1575">
        <f t="shared" si="13"/>
        <v>100</v>
      </c>
      <c r="V31" s="1574" t="s">
        <v>8</v>
      </c>
      <c r="W31" s="1575">
        <f t="shared" si="14"/>
        <v>100</v>
      </c>
      <c r="X31" s="1568"/>
      <c r="Y31" s="3553"/>
      <c r="Z31" s="1576">
        <f t="shared" si="15"/>
        <v>111</v>
      </c>
      <c r="AA31" s="1577">
        <f t="shared" si="3"/>
        <v>1</v>
      </c>
      <c r="AB31" s="1577">
        <f t="shared" si="4"/>
        <v>1</v>
      </c>
      <c r="AC31" s="1577">
        <f t="shared" si="5"/>
        <v>1</v>
      </c>
    </row>
    <row r="32" spans="1:29" ht="15">
      <c r="A32" s="2822" t="s">
        <v>2754</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040"/>
      <c r="M32" s="2032"/>
      <c r="N32" s="2032"/>
      <c r="O32" s="2039"/>
      <c r="P32" s="3554" t="s">
        <v>548</v>
      </c>
      <c r="Q32" s="1573" t="str">
        <f t="shared" si="11"/>
        <v>商业类型</v>
      </c>
      <c r="R32" s="1574" t="s">
        <v>8</v>
      </c>
      <c r="S32" s="1575">
        <f t="shared" si="12"/>
        <v>100</v>
      </c>
      <c r="T32" s="1574" t="s">
        <v>8</v>
      </c>
      <c r="U32" s="1575">
        <f t="shared" si="13"/>
        <v>100</v>
      </c>
      <c r="V32" s="1574" t="s">
        <v>8</v>
      </c>
      <c r="W32" s="1575">
        <f t="shared" si="14"/>
        <v>100</v>
      </c>
      <c r="X32" s="1568"/>
      <c r="Y32" s="3555"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038"/>
      <c r="M33" s="2069"/>
      <c r="N33" s="2069"/>
      <c r="O33" s="2041"/>
      <c r="P33" s="3555"/>
      <c r="Q33" s="1606" t="str">
        <f t="shared" si="11"/>
        <v>项目建筑规模</v>
      </c>
      <c r="R33" s="1578" t="s">
        <v>8</v>
      </c>
      <c r="S33" s="1579" t="e">
        <f t="shared" si="12"/>
        <v>#N/A</v>
      </c>
      <c r="T33" s="1578" t="s">
        <v>8</v>
      </c>
      <c r="U33" s="1579" t="e">
        <f t="shared" si="13"/>
        <v>#N/A</v>
      </c>
      <c r="V33" s="1578" t="s">
        <v>8</v>
      </c>
      <c r="W33" s="1579" t="e">
        <f t="shared" si="14"/>
        <v>#N/A</v>
      </c>
      <c r="X33" s="1580"/>
      <c r="Y33" s="3555"/>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040"/>
      <c r="M34" s="2032"/>
      <c r="N34" s="2032"/>
      <c r="O34" s="2039"/>
      <c r="P34" s="3555"/>
      <c r="Q34" s="1573" t="str">
        <f t="shared" si="11"/>
        <v>建筑结构</v>
      </c>
      <c r="R34" s="1574" t="s">
        <v>8</v>
      </c>
      <c r="S34" s="1575">
        <f t="shared" si="12"/>
        <v>100</v>
      </c>
      <c r="T34" s="1574" t="s">
        <v>8</v>
      </c>
      <c r="U34" s="1575">
        <f t="shared" si="13"/>
        <v>100</v>
      </c>
      <c r="V34" s="1574" t="s">
        <v>8</v>
      </c>
      <c r="W34" s="1575">
        <f t="shared" si="14"/>
        <v>100</v>
      </c>
      <c r="X34" s="1568"/>
      <c r="Y34" s="3555"/>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040"/>
      <c r="M35" s="2032"/>
      <c r="N35" s="2032"/>
      <c r="O35" s="2039"/>
      <c r="P35" s="3555"/>
      <c r="Q35" s="1573" t="str">
        <f t="shared" si="11"/>
        <v>公共部分装修</v>
      </c>
      <c r="R35" s="1574" t="s">
        <v>8</v>
      </c>
      <c r="S35" s="1575">
        <f t="shared" si="12"/>
        <v>100</v>
      </c>
      <c r="T35" s="1574" t="s">
        <v>8</v>
      </c>
      <c r="U35" s="1575">
        <f t="shared" si="13"/>
        <v>100</v>
      </c>
      <c r="V35" s="1574" t="s">
        <v>8</v>
      </c>
      <c r="W35" s="1575">
        <f t="shared" si="14"/>
        <v>100</v>
      </c>
      <c r="X35" s="1568"/>
      <c r="Y35" s="3555"/>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040"/>
      <c r="M36" s="2032"/>
      <c r="N36" s="2032"/>
      <c r="O36" s="2039"/>
      <c r="P36" s="3555"/>
      <c r="Q36" s="1573" t="str">
        <f t="shared" si="11"/>
        <v>成新度</v>
      </c>
      <c r="R36" s="1574" t="s">
        <v>8</v>
      </c>
      <c r="S36" s="1575" t="e">
        <f t="shared" si="12"/>
        <v>#N/A</v>
      </c>
      <c r="T36" s="1574" t="s">
        <v>8</v>
      </c>
      <c r="U36" s="1575" t="e">
        <f t="shared" si="13"/>
        <v>#N/A</v>
      </c>
      <c r="V36" s="1574" t="s">
        <v>8</v>
      </c>
      <c r="W36" s="1575" t="e">
        <f t="shared" si="14"/>
        <v>#N/A</v>
      </c>
      <c r="X36" s="1568"/>
      <c r="Y36" s="3555"/>
      <c r="Z36" s="1576" t="str">
        <f t="shared" si="15"/>
        <v>成新度</v>
      </c>
      <c r="AA36" s="1577" t="e">
        <f t="shared" si="3"/>
        <v>#N/A</v>
      </c>
      <c r="AB36" s="1577" t="e">
        <f t="shared" si="4"/>
        <v>#N/A</v>
      </c>
      <c r="AC36" s="1577" t="e">
        <f t="shared" si="5"/>
        <v>#N/A</v>
      </c>
    </row>
    <row r="37" spans="1:29" s="1220" customFormat="1" ht="15">
      <c r="A37" s="600"/>
      <c r="B37" s="1793"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033"/>
      <c r="M37" s="2034"/>
      <c r="N37" s="2034"/>
      <c r="O37" s="2035"/>
      <c r="P37" s="3555"/>
      <c r="Q37" s="1151" t="str">
        <f t="shared" si="11"/>
        <v>市政基础设施</v>
      </c>
      <c r="R37" s="1569" t="s">
        <v>8</v>
      </c>
      <c r="S37" s="1570">
        <f t="shared" si="12"/>
        <v>100</v>
      </c>
      <c r="T37" s="1569" t="s">
        <v>8</v>
      </c>
      <c r="U37" s="1570">
        <f t="shared" si="13"/>
        <v>100</v>
      </c>
      <c r="V37" s="1569" t="s">
        <v>8</v>
      </c>
      <c r="W37" s="1570">
        <f t="shared" si="14"/>
        <v>100</v>
      </c>
      <c r="X37" s="1571"/>
      <c r="Y37" s="3555"/>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040"/>
      <c r="M38" s="2032"/>
      <c r="N38" s="2032"/>
      <c r="O38" s="2039"/>
      <c r="P38" s="3555" t="s">
        <v>764</v>
      </c>
      <c r="Q38" s="1573" t="str">
        <f t="shared" si="11"/>
        <v>业态</v>
      </c>
      <c r="R38" s="1574" t="s">
        <v>8</v>
      </c>
      <c r="S38" s="1575">
        <f t="shared" si="12"/>
        <v>100</v>
      </c>
      <c r="T38" s="1574" t="s">
        <v>8</v>
      </c>
      <c r="U38" s="1575">
        <f t="shared" si="13"/>
        <v>100</v>
      </c>
      <c r="V38" s="1574" t="s">
        <v>8</v>
      </c>
      <c r="W38" s="1575">
        <f t="shared" si="14"/>
        <v>100</v>
      </c>
      <c r="X38" s="1568"/>
      <c r="Y38" s="3555"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55"/>
      <c r="Q39" s="1573" t="str">
        <f t="shared" si="11"/>
        <v>层高</v>
      </c>
      <c r="R39" s="1574" t="s">
        <v>8</v>
      </c>
      <c r="S39" s="1575">
        <f t="shared" si="12"/>
        <v>100</v>
      </c>
      <c r="T39" s="1574" t="s">
        <v>8</v>
      </c>
      <c r="U39" s="1575">
        <f t="shared" si="13"/>
        <v>100</v>
      </c>
      <c r="V39" s="1574" t="s">
        <v>8</v>
      </c>
      <c r="W39" s="1575">
        <f t="shared" si="14"/>
        <v>100</v>
      </c>
      <c r="X39" s="1568"/>
      <c r="Y39" s="3555"/>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040"/>
      <c r="M40" s="2032"/>
      <c r="N40" s="2032"/>
      <c r="O40" s="2039"/>
      <c r="P40" s="3555"/>
      <c r="Q40" s="1573" t="str">
        <f t="shared" si="11"/>
        <v>单套建筑面积</v>
      </c>
      <c r="R40" s="1574" t="s">
        <v>8</v>
      </c>
      <c r="S40" s="1575">
        <f t="shared" si="12"/>
        <v>100</v>
      </c>
      <c r="T40" s="1574" t="s">
        <v>8</v>
      </c>
      <c r="U40" s="1575">
        <f t="shared" si="13"/>
        <v>100</v>
      </c>
      <c r="V40" s="1574" t="s">
        <v>8</v>
      </c>
      <c r="W40" s="1575">
        <f t="shared" si="14"/>
        <v>100</v>
      </c>
      <c r="X40" s="1568"/>
      <c r="Y40" s="3555"/>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038"/>
      <c r="M41" s="2069"/>
      <c r="N41" s="2069"/>
      <c r="O41" s="2041"/>
      <c r="P41" s="3555"/>
      <c r="Q41" s="1606" t="str">
        <f t="shared" si="11"/>
        <v>进深比</v>
      </c>
      <c r="R41" s="1578" t="s">
        <v>8</v>
      </c>
      <c r="S41" s="1579">
        <f t="shared" si="12"/>
        <v>100</v>
      </c>
      <c r="T41" s="1578" t="s">
        <v>8</v>
      </c>
      <c r="U41" s="1579">
        <f t="shared" si="13"/>
        <v>100</v>
      </c>
      <c r="V41" s="1578" t="s">
        <v>8</v>
      </c>
      <c r="W41" s="1579">
        <f t="shared" si="14"/>
        <v>100</v>
      </c>
      <c r="X41" s="1580"/>
      <c r="Y41" s="3555"/>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040"/>
      <c r="M42" s="2032"/>
      <c r="N42" s="2032"/>
      <c r="O42" s="2039"/>
      <c r="P42" s="3555"/>
      <c r="Q42" s="1573" t="str">
        <f t="shared" si="11"/>
        <v>内部装修</v>
      </c>
      <c r="R42" s="1574" t="s">
        <v>8</v>
      </c>
      <c r="S42" s="1575">
        <f t="shared" si="12"/>
        <v>100</v>
      </c>
      <c r="T42" s="1574" t="s">
        <v>8</v>
      </c>
      <c r="U42" s="1575">
        <f t="shared" si="13"/>
        <v>100</v>
      </c>
      <c r="V42" s="1574" t="s">
        <v>8</v>
      </c>
      <c r="W42" s="1575">
        <f t="shared" si="14"/>
        <v>100</v>
      </c>
      <c r="X42" s="1568"/>
      <c r="Y42" s="3555"/>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040"/>
      <c r="M43" s="2032"/>
      <c r="N43" s="2032"/>
      <c r="O43" s="2039"/>
      <c r="P43" s="3555"/>
      <c r="Q43" s="1573" t="str">
        <f t="shared" si="11"/>
        <v>内部装修维护情况</v>
      </c>
      <c r="R43" s="1574" t="s">
        <v>8</v>
      </c>
      <c r="S43" s="1575">
        <f t="shared" si="12"/>
        <v>100</v>
      </c>
      <c r="T43" s="1574" t="s">
        <v>8</v>
      </c>
      <c r="U43" s="1575">
        <f t="shared" si="13"/>
        <v>100</v>
      </c>
      <c r="V43" s="1574" t="s">
        <v>8</v>
      </c>
      <c r="W43" s="1575">
        <f t="shared" si="14"/>
        <v>100</v>
      </c>
      <c r="X43" s="1568"/>
      <c r="Y43" s="355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033"/>
      <c r="M44" s="2034"/>
      <c r="N44" s="2034"/>
      <c r="O44" s="2035"/>
      <c r="P44" s="3555"/>
      <c r="Q44" s="1151">
        <f t="shared" si="11"/>
        <v>111</v>
      </c>
      <c r="R44" s="1569" t="s">
        <v>8</v>
      </c>
      <c r="S44" s="1570">
        <f t="shared" si="12"/>
        <v>100</v>
      </c>
      <c r="T44" s="1569" t="s">
        <v>8</v>
      </c>
      <c r="U44" s="1570">
        <f t="shared" si="13"/>
        <v>100</v>
      </c>
      <c r="V44" s="1569" t="s">
        <v>8</v>
      </c>
      <c r="W44" s="1570">
        <f t="shared" si="14"/>
        <v>100</v>
      </c>
      <c r="X44" s="1571"/>
      <c r="Y44" s="355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040"/>
      <c r="M45" s="2032"/>
      <c r="N45" s="2032"/>
      <c r="O45" s="2039"/>
      <c r="P45" s="3555"/>
      <c r="Q45" s="1573">
        <f t="shared" si="11"/>
        <v>111</v>
      </c>
      <c r="R45" s="1574" t="s">
        <v>8</v>
      </c>
      <c r="S45" s="1575">
        <f t="shared" si="12"/>
        <v>100</v>
      </c>
      <c r="T45" s="1574" t="s">
        <v>8</v>
      </c>
      <c r="U45" s="1575">
        <f t="shared" si="13"/>
        <v>100</v>
      </c>
      <c r="V45" s="1574" t="s">
        <v>8</v>
      </c>
      <c r="W45" s="1575">
        <f t="shared" si="14"/>
        <v>100</v>
      </c>
      <c r="X45" s="1568"/>
      <c r="Y45" s="355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040"/>
      <c r="M46" s="2032"/>
      <c r="N46" s="2032"/>
      <c r="O46" s="2039"/>
      <c r="P46" s="3657"/>
      <c r="Q46" s="1573">
        <f t="shared" si="11"/>
        <v>111</v>
      </c>
      <c r="R46" s="1574" t="s">
        <v>8</v>
      </c>
      <c r="S46" s="1575">
        <f t="shared" si="12"/>
        <v>100</v>
      </c>
      <c r="T46" s="1574" t="s">
        <v>8</v>
      </c>
      <c r="U46" s="1575">
        <f t="shared" si="13"/>
        <v>100</v>
      </c>
      <c r="V46" s="1574" t="s">
        <v>8</v>
      </c>
      <c r="W46" s="1575">
        <f t="shared" si="14"/>
        <v>100</v>
      </c>
      <c r="X46" s="1568"/>
      <c r="Y46" s="3657"/>
      <c r="Z46" s="1576">
        <f t="shared" si="15"/>
        <v>111</v>
      </c>
      <c r="AA46" s="1577">
        <f t="shared" si="3"/>
        <v>1</v>
      </c>
      <c r="AB46" s="1577">
        <f t="shared" si="4"/>
        <v>1</v>
      </c>
      <c r="AC46" s="1577">
        <f t="shared" si="5"/>
        <v>1</v>
      </c>
    </row>
    <row r="47" spans="1:29" ht="15">
      <c r="A47" s="607" t="s">
        <v>734</v>
      </c>
      <c r="B47" s="887"/>
      <c r="C47" s="2546" t="s">
        <v>1</v>
      </c>
      <c r="D47" s="2547"/>
      <c r="E47" s="2548"/>
      <c r="F47" s="2549"/>
      <c r="G47" s="2550"/>
      <c r="H47" s="2551"/>
      <c r="I47" s="2548"/>
      <c r="J47" s="2551"/>
      <c r="K47" s="1612"/>
      <c r="L47" s="2042"/>
      <c r="M47" s="2043"/>
      <c r="N47" s="2032"/>
      <c r="O47" s="2043"/>
      <c r="P47" s="3550" t="str">
        <f>A47</f>
        <v>成交单价（元/平方米）</v>
      </c>
      <c r="Q47" s="3550"/>
      <c r="R47" s="3656">
        <f>E47</f>
        <v>0</v>
      </c>
      <c r="S47" s="3656"/>
      <c r="T47" s="3656">
        <f>G47</f>
        <v>0</v>
      </c>
      <c r="U47" s="3656"/>
      <c r="V47" s="3656">
        <f>I47</f>
        <v>0</v>
      </c>
      <c r="W47" s="3656"/>
      <c r="X47" s="1560"/>
      <c r="Y47" s="1582"/>
      <c r="Z47" s="1560"/>
      <c r="AA47" s="1560"/>
      <c r="AB47" s="1560"/>
      <c r="AC47" s="1560"/>
    </row>
    <row r="48" spans="1:29" ht="15.75" thickBot="1">
      <c r="A48" s="615" t="s">
        <v>2759</v>
      </c>
      <c r="B48" s="888"/>
      <c r="C48" s="2552" t="e">
        <f>R49</f>
        <v>#DIV/0!</v>
      </c>
      <c r="D48" s="2553"/>
      <c r="E48" s="2554" t="e">
        <f>R48</f>
        <v>#DIV/0!</v>
      </c>
      <c r="F48" s="2554"/>
      <c r="G48" s="2552" t="e">
        <f>T48</f>
        <v>#DIV/0!</v>
      </c>
      <c r="H48" s="2553"/>
      <c r="I48" s="2554" t="e">
        <f>V48</f>
        <v>#DIV/0!</v>
      </c>
      <c r="J48" s="2553"/>
      <c r="K48" s="1613"/>
      <c r="L48" s="2042"/>
      <c r="M48" s="2043"/>
      <c r="N48" s="2032"/>
      <c r="O48" s="2043"/>
      <c r="P48" s="3550" t="str">
        <f>A48</f>
        <v>比较价格（元/平方米）</v>
      </c>
      <c r="Q48" s="3550"/>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560"/>
      <c r="Y48" s="1560"/>
      <c r="Z48" s="1560"/>
      <c r="AA48" s="1560"/>
      <c r="AB48" s="1560"/>
      <c r="AC48" s="1560"/>
    </row>
    <row r="49" spans="1:29" ht="15.75" thickBot="1">
      <c r="A49" s="621" t="s">
        <v>2922</v>
      </c>
      <c r="B49" s="622"/>
      <c r="C49" s="2555" t="e">
        <f>R49</f>
        <v>#DIV/0!</v>
      </c>
      <c r="D49" s="2555"/>
      <c r="E49" s="2555"/>
      <c r="F49" s="2555"/>
      <c r="G49" s="2555"/>
      <c r="H49" s="2555"/>
      <c r="I49" s="2555"/>
      <c r="J49" s="2555"/>
      <c r="K49" s="1614"/>
      <c r="L49" s="2042"/>
      <c r="M49" s="2043"/>
      <c r="N49" s="2032"/>
      <c r="O49" s="2043"/>
      <c r="P49" s="3570" t="str">
        <f>A49</f>
        <v>估价对象XX用房的比较价格（楼面单价，元/平方米）</v>
      </c>
      <c r="Q49" s="3571"/>
      <c r="R49" s="3655" t="e">
        <f>IF(F1="售价",ROUND(AVERAGE(R48:V48),0),ROUND(AVERAGE(R48:V48),1))</f>
        <v>#DIV/0!</v>
      </c>
      <c r="S49" s="3655"/>
      <c r="T49" s="3655"/>
      <c r="U49" s="3655"/>
      <c r="V49" s="3655"/>
      <c r="W49" s="3655"/>
      <c r="X49" s="1560"/>
      <c r="Y49" s="1560"/>
      <c r="Z49" s="1560"/>
      <c r="AA49" s="1560"/>
      <c r="AB49" s="1560"/>
      <c r="AC49" s="1560"/>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2044"/>
      <c r="B54" s="2044"/>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7"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c r="E59" s="650"/>
      <c r="F59" s="650"/>
      <c r="G59" s="650"/>
      <c r="H59" s="650"/>
      <c r="I59" s="650"/>
      <c r="J59" s="650"/>
      <c r="K59" s="650"/>
      <c r="L59" s="650"/>
      <c r="M59" s="651"/>
      <c r="N59" s="650"/>
      <c r="O59" s="652"/>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205"/>
    </row>
    <row r="63" spans="1:29">
      <c r="A63" s="664" t="s">
        <v>575</v>
      </c>
      <c r="B63" s="665" t="s">
        <v>532</v>
      </c>
      <c r="C63" s="704">
        <f>C9</f>
        <v>0</v>
      </c>
      <c r="D63" s="598"/>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c r="D64" s="671"/>
      <c r="E64" s="671"/>
      <c r="F64" s="671"/>
      <c r="G64" s="671"/>
      <c r="H64" s="671"/>
      <c r="I64" s="671"/>
      <c r="J64" s="671"/>
      <c r="K64" s="671"/>
      <c r="L64" s="671"/>
      <c r="M64" s="672"/>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c r="D68" s="541"/>
      <c r="E68" s="541"/>
      <c r="F68" s="541"/>
      <c r="G68" s="541"/>
      <c r="H68" s="541"/>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064"/>
      <c r="O69" s="2064"/>
      <c r="P69" s="2063"/>
      <c r="Q69" s="2056"/>
      <c r="R69" s="2043"/>
      <c r="S69" s="2043"/>
      <c r="T69" s="2043"/>
      <c r="U69" s="2043"/>
      <c r="V69" s="2043"/>
      <c r="W69" s="2043"/>
      <c r="X69" s="2043"/>
      <c r="Y69" s="2043"/>
      <c r="Z69" s="2043"/>
      <c r="AA69" s="2043"/>
      <c r="AB69" s="2043"/>
      <c r="AC69" s="2043"/>
    </row>
    <row r="70" spans="1:29" s="1339" customFormat="1" ht="15.75" thickTop="1">
      <c r="A70" s="687"/>
      <c r="B70" s="673">
        <f>B12</f>
        <v>111</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thickTop="1">
      <c r="A72" s="687"/>
      <c r="B72" s="673">
        <f>B13</f>
        <v>111</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thickBot="1">
      <c r="A73" s="687"/>
      <c r="B73" s="678"/>
      <c r="C73" s="692"/>
      <c r="D73" s="671"/>
      <c r="E73" s="671"/>
      <c r="F73" s="671"/>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thickTop="1">
      <c r="A74" s="687"/>
      <c r="B74" s="681">
        <f>B14</f>
        <v>111</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thickTop="1">
      <c r="A86" s="709"/>
      <c r="B86" s="673" t="s">
        <v>769</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1891"/>
      <c r="S87" s="1891"/>
      <c r="T87" s="1891"/>
      <c r="U87" s="1891"/>
      <c r="V87" s="1891"/>
      <c r="W87" s="1891"/>
      <c r="X87" s="1891"/>
      <c r="Y87" s="1891"/>
      <c r="Z87" s="1891"/>
      <c r="AA87" s="1891"/>
      <c r="AB87" s="1891"/>
      <c r="AC87" s="1891"/>
    </row>
    <row r="88" spans="1:29" s="1220" customFormat="1" ht="15.75" thickTop="1">
      <c r="A88" s="709"/>
      <c r="B88" s="673" t="str">
        <f>B26</f>
        <v>平面位置/可视性</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thickBot="1">
      <c r="A89" s="709"/>
      <c r="B89" s="678"/>
      <c r="C89" s="692"/>
      <c r="D89" s="671"/>
      <c r="E89" s="671"/>
      <c r="F89" s="671"/>
      <c r="G89" s="671"/>
      <c r="H89" s="671"/>
      <c r="I89" s="671"/>
      <c r="J89" s="671"/>
      <c r="K89" s="671"/>
      <c r="L89" s="671"/>
      <c r="M89" s="671"/>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人流量</v>
      </c>
      <c r="C90" s="688"/>
      <c r="D90" s="688"/>
      <c r="E90" s="688"/>
      <c r="F90" s="688"/>
      <c r="G90" s="688"/>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楼层</v>
      </c>
      <c r="C92" s="688"/>
      <c r="D92" s="688"/>
      <c r="E92" s="688"/>
      <c r="F92" s="688"/>
      <c r="G92" s="688"/>
      <c r="H92" s="688"/>
      <c r="I92" s="688"/>
      <c r="J92" s="688"/>
      <c r="K92" s="688"/>
      <c r="L92" s="890"/>
      <c r="M92" s="89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1"/>
      <c r="D93" s="671"/>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f>B29</f>
        <v>111</v>
      </c>
      <c r="C94" s="688"/>
      <c r="D94" s="688"/>
      <c r="E94" s="688"/>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c r="D95" s="671"/>
      <c r="E95" s="671"/>
      <c r="F95" s="671"/>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111</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92"/>
      <c r="D97" s="671"/>
      <c r="E97" s="671"/>
      <c r="F97" s="671"/>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111</v>
      </c>
      <c r="C98" s="688"/>
      <c r="D98" s="688"/>
      <c r="E98" s="688"/>
      <c r="F98" s="688"/>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00"/>
      <c r="D99" s="700"/>
      <c r="E99" s="700"/>
      <c r="F99" s="700"/>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770</v>
      </c>
      <c r="C100" s="598"/>
      <c r="D100" s="598"/>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c r="D104" s="671"/>
      <c r="E104" s="671"/>
      <c r="F104" s="671"/>
      <c r="G104" s="671"/>
      <c r="H104" s="671"/>
      <c r="I104" s="671"/>
      <c r="J104" s="671"/>
      <c r="K104" s="671"/>
      <c r="L104" s="671"/>
      <c r="M104" s="672"/>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688"/>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749</v>
      </c>
      <c r="C107" s="688"/>
      <c r="D107" s="688"/>
      <c r="E107" s="688"/>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c r="A110" s="735"/>
      <c r="B110" s="681"/>
      <c r="C110" s="894">
        <v>0.5</v>
      </c>
      <c r="D110" s="894">
        <v>0.6</v>
      </c>
      <c r="E110" s="894">
        <v>0.7</v>
      </c>
      <c r="F110" s="894">
        <v>0.8</v>
      </c>
      <c r="G110" s="894">
        <v>0.9</v>
      </c>
      <c r="H110" s="894">
        <v>1.0001</v>
      </c>
      <c r="I110" s="905"/>
      <c r="J110" s="905"/>
      <c r="K110" s="906"/>
      <c r="L110" s="907"/>
      <c r="M110" s="908"/>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064"/>
      <c r="O111" s="2064"/>
      <c r="P111" s="2063"/>
      <c r="Q111" s="2056"/>
      <c r="R111" s="2043"/>
      <c r="S111" s="2043"/>
      <c r="T111" s="2043"/>
      <c r="U111" s="2043"/>
      <c r="V111" s="2043"/>
      <c r="W111" s="2043"/>
      <c r="X111" s="2043"/>
      <c r="Y111" s="2043"/>
      <c r="Z111" s="2043"/>
      <c r="AA111" s="2043"/>
      <c r="AB111" s="2043"/>
      <c r="AC111" s="2043"/>
    </row>
    <row r="112" spans="1:29" s="1339" customFormat="1" ht="15" thickTop="1">
      <c r="A112" s="728"/>
      <c r="B112" s="1794" t="s">
        <v>2553</v>
      </c>
      <c r="C112" s="688"/>
      <c r="D112" s="688"/>
      <c r="E112" s="688"/>
      <c r="F112" s="688"/>
      <c r="G112" s="688"/>
      <c r="H112" s="718"/>
      <c r="I112" s="718"/>
      <c r="J112" s="718"/>
      <c r="K112" s="719"/>
      <c r="L112" s="720"/>
      <c r="M112" s="721"/>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771</v>
      </c>
      <c r="C114" s="688"/>
      <c r="D114" s="688"/>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673" t="s">
        <v>772</v>
      </c>
      <c r="C116" s="688"/>
      <c r="D116" s="688"/>
      <c r="E116" s="688"/>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773</v>
      </c>
      <c r="C118" s="909"/>
      <c r="D118" s="909"/>
      <c r="E118" s="909"/>
      <c r="F118" s="909"/>
      <c r="G118" s="909"/>
      <c r="H118" s="689"/>
      <c r="I118" s="689"/>
      <c r="J118" s="689"/>
      <c r="K118" s="689"/>
      <c r="L118" s="690"/>
      <c r="M118" s="69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s="1339" customFormat="1" ht="15" thickTop="1">
      <c r="A120" s="728"/>
      <c r="B120" s="673" t="s">
        <v>774</v>
      </c>
      <c r="C120" s="718"/>
      <c r="D120" s="718"/>
      <c r="E120" s="718"/>
      <c r="F120" s="718"/>
      <c r="G120" s="689"/>
      <c r="H120" s="689"/>
      <c r="I120" s="689"/>
      <c r="J120" s="689"/>
      <c r="K120" s="689"/>
      <c r="L120" s="690"/>
      <c r="M120" s="6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688"/>
      <c r="D122" s="688"/>
      <c r="E122" s="688"/>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111</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111</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71"/>
      <c r="E129" s="671"/>
      <c r="F129" s="671"/>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111</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11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22"/>
      <c r="G1" s="1602" t="s">
        <v>719</v>
      </c>
      <c r="H1" s="506"/>
      <c r="I1" s="506"/>
      <c r="J1" s="506"/>
      <c r="K1" s="507"/>
      <c r="L1" s="1563"/>
      <c r="M1" s="1564"/>
      <c r="N1" s="1564"/>
      <c r="O1" s="1564"/>
      <c r="P1" s="210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2105"/>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1959"/>
      <c r="F3" s="2027"/>
      <c r="G3" s="2026"/>
      <c r="H3" s="2026"/>
      <c r="I3" s="2026"/>
      <c r="J3" s="2026"/>
      <c r="K3" s="2028"/>
      <c r="L3" s="2029"/>
      <c r="M3" s="2030"/>
      <c r="N3" s="2030"/>
      <c r="O3" s="2030"/>
      <c r="P3" s="2105"/>
      <c r="Q3" s="1565"/>
      <c r="R3" s="1565"/>
      <c r="S3" s="1565"/>
      <c r="T3" s="1565"/>
      <c r="U3" s="1565"/>
      <c r="V3" s="1565"/>
      <c r="W3" s="1565"/>
      <c r="X3" s="1565"/>
      <c r="Y3" s="1565"/>
      <c r="Z3" s="1565"/>
      <c r="AA3" s="1565"/>
      <c r="AB3" s="1565"/>
      <c r="AC3" s="1566"/>
    </row>
    <row r="4" spans="1:29" ht="15">
      <c r="A4" s="512" t="s">
        <v>519</v>
      </c>
      <c r="B4" s="513"/>
      <c r="C4" s="3556" t="s">
        <v>520</v>
      </c>
      <c r="D4" s="3557"/>
      <c r="E4" s="3579" t="s">
        <v>521</v>
      </c>
      <c r="F4" s="3580"/>
      <c r="G4" s="3556" t="s">
        <v>522</v>
      </c>
      <c r="H4" s="3557"/>
      <c r="I4" s="3556" t="s">
        <v>523</v>
      </c>
      <c r="J4" s="3557"/>
      <c r="K4" s="514" t="s">
        <v>524</v>
      </c>
      <c r="L4" s="2031"/>
      <c r="M4" s="2032"/>
      <c r="N4" s="2032"/>
      <c r="O4" s="2032"/>
      <c r="P4" s="3658" t="s">
        <v>525</v>
      </c>
      <c r="Q4" s="3559"/>
      <c r="R4" s="3544" t="s">
        <v>521</v>
      </c>
      <c r="S4" s="3545"/>
      <c r="T4" s="3544" t="s">
        <v>522</v>
      </c>
      <c r="U4" s="3545"/>
      <c r="V4" s="3564" t="s">
        <v>523</v>
      </c>
      <c r="W4" s="3564"/>
      <c r="X4" s="1568"/>
      <c r="Y4" s="3544" t="s">
        <v>525</v>
      </c>
      <c r="Z4" s="3545"/>
      <c r="AA4" s="3539" t="s">
        <v>521</v>
      </c>
      <c r="AB4" s="3539" t="s">
        <v>522</v>
      </c>
      <c r="AC4" s="3539" t="s">
        <v>523</v>
      </c>
    </row>
    <row r="5" spans="1:29" ht="15">
      <c r="A5" s="515"/>
      <c r="B5" s="516"/>
      <c r="C5" s="3583" t="s">
        <v>2916</v>
      </c>
      <c r="D5" s="3568"/>
      <c r="E5" s="3581" t="s">
        <v>2917</v>
      </c>
      <c r="F5" s="3582"/>
      <c r="G5" s="3583" t="s">
        <v>2918</v>
      </c>
      <c r="H5" s="3568"/>
      <c r="I5" s="3583" t="s">
        <v>2919</v>
      </c>
      <c r="J5" s="3568"/>
      <c r="K5" s="514"/>
      <c r="L5" s="2031"/>
      <c r="M5" s="2032"/>
      <c r="N5" s="2032"/>
      <c r="O5" s="2032"/>
      <c r="P5" s="3659"/>
      <c r="Q5" s="3561"/>
      <c r="R5" s="3546"/>
      <c r="S5" s="3547"/>
      <c r="T5" s="3546"/>
      <c r="U5" s="3547"/>
      <c r="V5" s="3564"/>
      <c r="W5" s="3564"/>
      <c r="X5" s="1568"/>
      <c r="Y5" s="3546"/>
      <c r="Z5" s="3547"/>
      <c r="AA5" s="3540"/>
      <c r="AB5" s="3540"/>
      <c r="AC5" s="3540"/>
    </row>
    <row r="6" spans="1:29" ht="15.75" thickBot="1">
      <c r="A6" s="517"/>
      <c r="B6" s="518"/>
      <c r="C6" s="3584" t="s">
        <v>2920</v>
      </c>
      <c r="D6" s="3585"/>
      <c r="E6" s="3586" t="s">
        <v>2920</v>
      </c>
      <c r="F6" s="3587"/>
      <c r="G6" s="3584" t="s">
        <v>2920</v>
      </c>
      <c r="H6" s="3585"/>
      <c r="I6" s="3584" t="s">
        <v>2920</v>
      </c>
      <c r="J6" s="3585"/>
      <c r="K6" s="514" t="s">
        <v>526</v>
      </c>
      <c r="L6" s="2031"/>
      <c r="M6" s="2032"/>
      <c r="N6" s="2032"/>
      <c r="O6" s="2032"/>
      <c r="P6" s="3660"/>
      <c r="Q6" s="3563"/>
      <c r="R6" s="3546"/>
      <c r="S6" s="3547"/>
      <c r="T6" s="3548"/>
      <c r="U6" s="3549"/>
      <c r="V6" s="3564"/>
      <c r="W6" s="3564"/>
      <c r="X6" s="1568"/>
      <c r="Y6" s="3548"/>
      <c r="Z6" s="3549"/>
      <c r="AA6" s="3541"/>
      <c r="AB6" s="3541"/>
      <c r="AC6" s="3541"/>
    </row>
    <row r="7" spans="1:29" s="1220" customFormat="1" ht="15.75" thickBot="1">
      <c r="A7" s="2827"/>
      <c r="B7" s="2834" t="s">
        <v>527</v>
      </c>
      <c r="C7" s="519">
        <f>'数据-取费表'!B2</f>
        <v>43095</v>
      </c>
      <c r="D7" s="520">
        <v>100</v>
      </c>
      <c r="E7" s="521"/>
      <c r="F7" s="522">
        <f>SUMIF(59:59,YEAR(E7)&amp;"-"&amp;MONTH(E7),60:60)</f>
        <v>0</v>
      </c>
      <c r="G7" s="521"/>
      <c r="H7" s="520">
        <f>SUMIF(59:59,YEAR(G7)&amp;"-"&amp;MONTH(G7),60:60)</f>
        <v>0</v>
      </c>
      <c r="I7" s="521"/>
      <c r="J7" s="520">
        <f>SUMIF(59:59,YEAR(I7)&amp;"-"&amp;MONTH(I7),60:60)</f>
        <v>0</v>
      </c>
      <c r="K7" s="524"/>
      <c r="L7" s="2033"/>
      <c r="M7" s="2034"/>
      <c r="N7" s="2034"/>
      <c r="O7" s="2034"/>
      <c r="P7" s="3551" t="s">
        <v>528</v>
      </c>
      <c r="Q7" s="3551"/>
      <c r="R7" s="1569" t="s">
        <v>8</v>
      </c>
      <c r="S7" s="1570">
        <f t="shared" ref="S7:S15" si="0">F7</f>
        <v>0</v>
      </c>
      <c r="T7" s="1569" t="s">
        <v>8</v>
      </c>
      <c r="U7" s="1570">
        <f t="shared" ref="U7:U15" si="1">H7</f>
        <v>0</v>
      </c>
      <c r="V7" s="1569" t="s">
        <v>8</v>
      </c>
      <c r="W7" s="1570">
        <f t="shared" ref="W7:W15" si="2">J7</f>
        <v>0</v>
      </c>
      <c r="X7" s="1571"/>
      <c r="Y7" s="3542" t="s">
        <v>528</v>
      </c>
      <c r="Z7" s="3543"/>
      <c r="AA7" s="1572" t="e">
        <f>D7/F7</f>
        <v>#DIV/0!</v>
      </c>
      <c r="AB7" s="1572" t="e">
        <f>D7/H7</f>
        <v>#DIV/0!</v>
      </c>
      <c r="AC7" s="1572" t="e">
        <f>D7/J7</f>
        <v>#DIV/0!</v>
      </c>
    </row>
    <row r="8" spans="1:29" s="1220" customFormat="1" ht="15.75" thickBot="1">
      <c r="A8" s="2828"/>
      <c r="B8" s="2835" t="s">
        <v>529</v>
      </c>
      <c r="C8" s="525" t="s">
        <v>574</v>
      </c>
      <c r="D8" s="520">
        <v>100</v>
      </c>
      <c r="E8" s="525"/>
      <c r="F8" s="522">
        <f>SUMIF(62:62,E8,63:63)-SUMIF(62:62,C8,63:63)+100</f>
        <v>0</v>
      </c>
      <c r="G8" s="525"/>
      <c r="H8" s="520">
        <f>SUMIF(62:62,G8,63:63)-SUMIF(62:62,C8,63:63)+100</f>
        <v>0</v>
      </c>
      <c r="I8" s="525"/>
      <c r="J8" s="520">
        <f>SUMIF(62:62,I8,63:63)-SUMIF(62:62,C8,63:63)+100</f>
        <v>0</v>
      </c>
      <c r="K8" s="524"/>
      <c r="L8" s="2033"/>
      <c r="M8" s="2034"/>
      <c r="N8" s="2034"/>
      <c r="O8" s="2034"/>
      <c r="P8" s="3551" t="s">
        <v>531</v>
      </c>
      <c r="Q8" s="3543"/>
      <c r="R8" s="1569" t="s">
        <v>8</v>
      </c>
      <c r="S8" s="1570">
        <f t="shared" si="0"/>
        <v>0</v>
      </c>
      <c r="T8" s="1569" t="s">
        <v>8</v>
      </c>
      <c r="U8" s="1570">
        <f t="shared" si="1"/>
        <v>0</v>
      </c>
      <c r="V8" s="1569" t="s">
        <v>8</v>
      </c>
      <c r="W8" s="1570">
        <f t="shared" si="2"/>
        <v>0</v>
      </c>
      <c r="X8" s="1571"/>
      <c r="Y8" s="3542" t="s">
        <v>531</v>
      </c>
      <c r="Z8" s="3543"/>
      <c r="AA8" s="1572" t="e">
        <f t="shared" ref="AA8:AA47" si="3">D8/F8</f>
        <v>#DIV/0!</v>
      </c>
      <c r="AB8" s="1572" t="e">
        <f t="shared" ref="AB8:AB47" si="4">D8/H8</f>
        <v>#DIV/0!</v>
      </c>
      <c r="AC8" s="1572" t="e">
        <f t="shared" ref="AC8:AC47" si="5">D8/J8</f>
        <v>#DIV/0!</v>
      </c>
    </row>
    <row r="9" spans="1:29" s="1220" customFormat="1" ht="15">
      <c r="A9" s="2829"/>
      <c r="B9" s="2836" t="s">
        <v>2755</v>
      </c>
      <c r="C9" s="857"/>
      <c r="D9" s="254">
        <v>100</v>
      </c>
      <c r="E9" s="860"/>
      <c r="F9" s="254">
        <f>SUMIF(64:64,E9,65:65)-SUMIF(64:64,C9,65:65)+100</f>
        <v>100</v>
      </c>
      <c r="G9" s="858"/>
      <c r="H9" s="254">
        <f>SUMIF(64:64,G9,65:65)-SUMIF(64:64,C9,65:65)+100</f>
        <v>100</v>
      </c>
      <c r="I9" s="858"/>
      <c r="J9" s="254">
        <f>SUMIF(64:64,I9,65:65)-SUMIF(64:64,C9,65:65)+100</f>
        <v>100</v>
      </c>
      <c r="K9" s="524"/>
      <c r="L9" s="2033"/>
      <c r="M9" s="2034"/>
      <c r="N9" s="2034"/>
      <c r="O9" s="2034"/>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SUMIF(66:66,E10,67:67)-SUMIF(66:66,C10,67:67)+100</f>
        <v>100</v>
      </c>
      <c r="G10" s="862"/>
      <c r="H10" s="255">
        <f>SUMIF(66:66,G10,67:67)-SUMIF(66:66,C10,67:67)+100</f>
        <v>100</v>
      </c>
      <c r="I10" s="861"/>
      <c r="J10" s="255">
        <f>SUMIF(66:66,I10,67:67)-SUMIF(66:66,C10,67:67)+100</f>
        <v>100</v>
      </c>
      <c r="K10" s="584"/>
      <c r="L10" s="2036"/>
      <c r="M10" s="2076"/>
      <c r="N10" s="2076"/>
      <c r="O10" s="2076"/>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038"/>
      <c r="M11" s="2032"/>
      <c r="N11" s="2032"/>
      <c r="O11" s="2032"/>
      <c r="P11" s="3550"/>
      <c r="Q11" s="1151" t="str">
        <f t="shared" si="6"/>
        <v>容积率</v>
      </c>
      <c r="R11" s="1569" t="s">
        <v>8</v>
      </c>
      <c r="S11" s="1570" t="e">
        <f t="shared" si="0"/>
        <v>#N/A</v>
      </c>
      <c r="T11" s="1569" t="s">
        <v>8</v>
      </c>
      <c r="U11" s="1570" t="e">
        <f t="shared" si="1"/>
        <v>#N/A</v>
      </c>
      <c r="V11" s="1569" t="s">
        <v>8</v>
      </c>
      <c r="W11" s="1570" t="e">
        <f t="shared" si="2"/>
        <v>#N/A</v>
      </c>
      <c r="X11" s="1571"/>
      <c r="Y11" s="3507"/>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28"/>
      <c r="F12" s="255">
        <f>SUMIF(71:71,E12,72:72)-SUMIF(71:71,C12,72:72)+100</f>
        <v>100</v>
      </c>
      <c r="G12" s="910"/>
      <c r="H12" s="255">
        <f>SUMIF(71:71,G12,72:72)-SUMIF(71:71,C12,72:72)+100</f>
        <v>100</v>
      </c>
      <c r="I12" s="528"/>
      <c r="J12" s="255">
        <f>SUMIF(71:71,I12,72:72)-SUMIF(71:71,C12,72:72)+100</f>
        <v>100</v>
      </c>
      <c r="K12" s="581"/>
      <c r="L12" s="2033"/>
      <c r="M12" s="2034"/>
      <c r="N12" s="2034"/>
      <c r="O12" s="2034"/>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
      <c r="A13" s="2832"/>
      <c r="B13" s="2838">
        <v>111</v>
      </c>
      <c r="C13" s="539"/>
      <c r="D13" s="540">
        <v>100</v>
      </c>
      <c r="E13" s="528"/>
      <c r="F13" s="255">
        <f>SUMIF(73:73,E13,74:74)-SUMIF(73:73,C13,74:74)+100</f>
        <v>100</v>
      </c>
      <c r="G13" s="910"/>
      <c r="H13" s="540">
        <f>SUMIF(73:73,G13,74:74)-SUMIF(73:73,C13,74:74)+100</f>
        <v>100</v>
      </c>
      <c r="I13" s="528"/>
      <c r="J13" s="540">
        <f>SUMIF(73:73,I13,74:74)-SUMIF(73:73,C13,74:74)+100</f>
        <v>100</v>
      </c>
      <c r="K13" s="581"/>
      <c r="L13" s="2040"/>
      <c r="M13" s="2032"/>
      <c r="N13" s="2032"/>
      <c r="O13" s="2032"/>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75" thickBot="1">
      <c r="A14" s="2833"/>
      <c r="B14" s="2839">
        <v>111</v>
      </c>
      <c r="C14" s="545"/>
      <c r="D14" s="546">
        <v>100</v>
      </c>
      <c r="E14" s="911"/>
      <c r="F14" s="546">
        <f>SUMIF(75:75,E14,76:76)-SUMIF(75:75,C14,76:76)+100</f>
        <v>100</v>
      </c>
      <c r="G14" s="910"/>
      <c r="H14" s="546">
        <f>SUMIF(75:75,G14,76:76)-SUMIF(75:75,C14,76:76)+100</f>
        <v>100</v>
      </c>
      <c r="I14" s="528"/>
      <c r="J14" s="546">
        <f>SUMIF(75:75,I14,76:76)-SUMIF(75:75,C14,76:76)+100</f>
        <v>100</v>
      </c>
      <c r="K14" s="581"/>
      <c r="L14" s="2040"/>
      <c r="M14" s="2032"/>
      <c r="N14" s="2032"/>
      <c r="O14" s="2032"/>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 t="shared" si="3"/>
        <v>1</v>
      </c>
      <c r="AB14" s="1572">
        <f t="shared" si="4"/>
        <v>1</v>
      </c>
      <c r="AC14" s="1572">
        <f t="shared" si="5"/>
        <v>1</v>
      </c>
    </row>
    <row r="15" spans="1:29" ht="15">
      <c r="A15" s="2825" t="s">
        <v>2753</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040"/>
      <c r="M15" s="2032"/>
      <c r="N15" s="2032"/>
      <c r="O15" s="2032"/>
      <c r="P15" s="3552" t="s">
        <v>538</v>
      </c>
      <c r="Q15" s="1573" t="str">
        <f t="shared" si="6"/>
        <v>办公集聚程度</v>
      </c>
      <c r="R15" s="1574" t="s">
        <v>8</v>
      </c>
      <c r="S15" s="1575">
        <f t="shared" si="0"/>
        <v>100</v>
      </c>
      <c r="T15" s="1574" t="s">
        <v>8</v>
      </c>
      <c r="U15" s="1575">
        <f t="shared" si="1"/>
        <v>100</v>
      </c>
      <c r="V15" s="1574" t="s">
        <v>8</v>
      </c>
      <c r="W15" s="1575">
        <f t="shared" si="2"/>
        <v>100</v>
      </c>
      <c r="X15" s="1568"/>
      <c r="Y15" s="3552"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040"/>
      <c r="M16" s="2032"/>
      <c r="N16" s="2032"/>
      <c r="O16" s="2032"/>
      <c r="P16" s="3553"/>
      <c r="Q16" s="1573"/>
      <c r="R16" s="1574"/>
      <c r="S16" s="1575"/>
      <c r="T16" s="1574"/>
      <c r="U16" s="1575"/>
      <c r="V16" s="1574"/>
      <c r="W16" s="1575"/>
      <c r="X16" s="1568"/>
      <c r="Y16" s="3553"/>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040"/>
      <c r="M17" s="2032"/>
      <c r="N17" s="2032"/>
      <c r="O17" s="2032"/>
      <c r="P17" s="3553"/>
      <c r="Q17" s="1573" t="str">
        <f>B17</f>
        <v>交通便捷度</v>
      </c>
      <c r="R17" s="1574" t="s">
        <v>8</v>
      </c>
      <c r="S17" s="1575">
        <f>F17</f>
        <v>100</v>
      </c>
      <c r="T17" s="1574" t="s">
        <v>8</v>
      </c>
      <c r="U17" s="1575">
        <f>H17</f>
        <v>100</v>
      </c>
      <c r="V17" s="1574" t="s">
        <v>8</v>
      </c>
      <c r="W17" s="1575">
        <f>J17</f>
        <v>100</v>
      </c>
      <c r="X17" s="1568"/>
      <c r="Y17" s="355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040"/>
      <c r="M18" s="2032"/>
      <c r="N18" s="2032"/>
      <c r="O18" s="2032"/>
      <c r="P18" s="3553"/>
      <c r="Q18" s="1573"/>
      <c r="R18" s="1574"/>
      <c r="S18" s="1575"/>
      <c r="T18" s="1574"/>
      <c r="U18" s="1575"/>
      <c r="V18" s="1574"/>
      <c r="W18" s="1575"/>
      <c r="X18" s="1568"/>
      <c r="Y18" s="3553"/>
      <c r="Z18" s="1576"/>
      <c r="AA18" s="1577">
        <v>1</v>
      </c>
      <c r="AB18" s="1577">
        <v>1</v>
      </c>
      <c r="AC18" s="1577">
        <v>1</v>
      </c>
    </row>
    <row r="19" spans="1:29" ht="15">
      <c r="A19" s="532"/>
      <c r="B19" s="2522" t="s">
        <v>2543</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040"/>
      <c r="M19" s="2032"/>
      <c r="N19" s="2032"/>
      <c r="O19" s="2032"/>
      <c r="P19" s="3553"/>
      <c r="Q19" s="1573" t="str">
        <f>B19</f>
        <v>公共配套设施</v>
      </c>
      <c r="R19" s="1574" t="s">
        <v>8</v>
      </c>
      <c r="S19" s="1575">
        <f>F19</f>
        <v>100</v>
      </c>
      <c r="T19" s="1574" t="s">
        <v>8</v>
      </c>
      <c r="U19" s="1575">
        <f>H19</f>
        <v>100</v>
      </c>
      <c r="V19" s="1574" t="s">
        <v>8</v>
      </c>
      <c r="W19" s="1575">
        <f>J19</f>
        <v>100</v>
      </c>
      <c r="X19" s="1568"/>
      <c r="Y19" s="355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040"/>
      <c r="M20" s="2032"/>
      <c r="N20" s="2032"/>
      <c r="O20" s="2032"/>
      <c r="P20" s="3553"/>
      <c r="Q20" s="1573"/>
      <c r="R20" s="1574"/>
      <c r="S20" s="1575"/>
      <c r="T20" s="1574"/>
      <c r="U20" s="1575"/>
      <c r="V20" s="1574"/>
      <c r="W20" s="1575"/>
      <c r="X20" s="1568"/>
      <c r="Y20" s="3553"/>
      <c r="Z20" s="1576"/>
      <c r="AA20" s="1577">
        <v>1</v>
      </c>
      <c r="AB20" s="1577">
        <v>1</v>
      </c>
      <c r="AC20" s="1577">
        <v>1</v>
      </c>
    </row>
    <row r="21" spans="1:29" ht="15">
      <c r="A21" s="532"/>
      <c r="B21" s="2510" t="s">
        <v>2555</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040"/>
      <c r="M21" s="2032"/>
      <c r="N21" s="2032"/>
      <c r="O21" s="2032"/>
      <c r="P21" s="3553"/>
      <c r="Q21" s="2498" t="str">
        <f>B21</f>
        <v>基础设施水平</v>
      </c>
      <c r="R21" s="1574" t="s">
        <v>8</v>
      </c>
      <c r="S21" s="1575">
        <f>F21</f>
        <v>100</v>
      </c>
      <c r="T21" s="1574" t="s">
        <v>8</v>
      </c>
      <c r="U21" s="1575">
        <f>H21</f>
        <v>100</v>
      </c>
      <c r="V21" s="1574" t="s">
        <v>8</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21"/>
      <c r="L22" s="2040"/>
      <c r="M22" s="2032"/>
      <c r="N22" s="2032"/>
      <c r="O22" s="2032"/>
      <c r="P22" s="3553"/>
      <c r="Q22" s="2498"/>
      <c r="R22" s="1574"/>
      <c r="S22" s="1575"/>
      <c r="T22" s="1574"/>
      <c r="U22" s="1575"/>
      <c r="V22" s="1574"/>
      <c r="W22" s="1575"/>
      <c r="X22" s="2500"/>
      <c r="Y22" s="3553"/>
      <c r="Z22" s="2499"/>
      <c r="AA22" s="1577">
        <v>1</v>
      </c>
      <c r="AB22" s="1577">
        <v>1</v>
      </c>
      <c r="AC22" s="1577">
        <v>1</v>
      </c>
    </row>
    <row r="23" spans="1:29" ht="15">
      <c r="A23" s="532"/>
      <c r="B23" s="560" t="s">
        <v>776</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040"/>
      <c r="M23" s="2032"/>
      <c r="N23" s="2032"/>
      <c r="O23" s="2032"/>
      <c r="P23" s="3553"/>
      <c r="Q23" s="1573" t="str">
        <f>B23</f>
        <v>环境质量</v>
      </c>
      <c r="R23" s="1574" t="s">
        <v>8</v>
      </c>
      <c r="S23" s="1575">
        <f>F23</f>
        <v>100</v>
      </c>
      <c r="T23" s="1574" t="s">
        <v>8</v>
      </c>
      <c r="U23" s="1575">
        <f>H23</f>
        <v>100</v>
      </c>
      <c r="V23" s="1574" t="s">
        <v>8</v>
      </c>
      <c r="W23" s="1575">
        <f>J23</f>
        <v>100</v>
      </c>
      <c r="X23" s="1568"/>
      <c r="Y23" s="355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040"/>
      <c r="M24" s="2032"/>
      <c r="N24" s="2032"/>
      <c r="O24" s="2032"/>
      <c r="P24" s="3553"/>
      <c r="Q24" s="1573"/>
      <c r="R24" s="1574"/>
      <c r="S24" s="1575"/>
      <c r="T24" s="1574"/>
      <c r="U24" s="1575"/>
      <c r="V24" s="1574"/>
      <c r="W24" s="1575"/>
      <c r="X24" s="1568"/>
      <c r="Y24" s="3553"/>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040"/>
      <c r="M25" s="2032"/>
      <c r="N25" s="2032"/>
      <c r="O25" s="2032"/>
      <c r="P25" s="3553"/>
      <c r="Q25" s="1573" t="str">
        <f>B25</f>
        <v>毗邻道路的类型与等级</v>
      </c>
      <c r="R25" s="1574" t="s">
        <v>8</v>
      </c>
      <c r="S25" s="1575">
        <f>F25</f>
        <v>100</v>
      </c>
      <c r="T25" s="1574" t="s">
        <v>8</v>
      </c>
      <c r="U25" s="1575">
        <f>H25</f>
        <v>100</v>
      </c>
      <c r="V25" s="1574" t="s">
        <v>8</v>
      </c>
      <c r="W25" s="1575">
        <f>J25</f>
        <v>100</v>
      </c>
      <c r="X25" s="1568"/>
      <c r="Y25" s="355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040"/>
      <c r="M26" s="2032"/>
      <c r="N26" s="2032"/>
      <c r="O26" s="2032"/>
      <c r="P26" s="3553"/>
      <c r="Q26" s="1573"/>
      <c r="R26" s="1574"/>
      <c r="S26" s="1575"/>
      <c r="T26" s="1574"/>
      <c r="U26" s="1575"/>
      <c r="V26" s="1574"/>
      <c r="W26" s="1575"/>
      <c r="X26" s="1568"/>
      <c r="Y26" s="3553"/>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040"/>
      <c r="M27" s="2032"/>
      <c r="N27" s="2032"/>
      <c r="O27" s="2032"/>
      <c r="P27" s="3553"/>
      <c r="Q27" s="1573" t="str">
        <f t="shared" ref="Q27:Q47" si="11">B27</f>
        <v>楼层</v>
      </c>
      <c r="R27" s="1574" t="s">
        <v>8</v>
      </c>
      <c r="S27" s="1575">
        <f>F27</f>
        <v>100</v>
      </c>
      <c r="T27" s="1574" t="s">
        <v>8</v>
      </c>
      <c r="U27" s="1575">
        <f>H27</f>
        <v>100</v>
      </c>
      <c r="V27" s="1574" t="s">
        <v>8</v>
      </c>
      <c r="W27" s="1575">
        <f>J27</f>
        <v>100</v>
      </c>
      <c r="X27" s="1568"/>
      <c r="Y27" s="3553"/>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033"/>
      <c r="M28" s="2034"/>
      <c r="N28" s="2034"/>
      <c r="O28" s="2034"/>
      <c r="P28" s="3553"/>
      <c r="Q28" s="1151" t="str">
        <f t="shared" si="11"/>
        <v>朝向</v>
      </c>
      <c r="R28" s="1569" t="s">
        <v>8</v>
      </c>
      <c r="S28" s="1570">
        <f>F28</f>
        <v>100</v>
      </c>
      <c r="T28" s="1569" t="s">
        <v>8</v>
      </c>
      <c r="U28" s="1570">
        <f>H28</f>
        <v>100</v>
      </c>
      <c r="V28" s="1569" t="s">
        <v>8</v>
      </c>
      <c r="W28" s="1570">
        <f>J28</f>
        <v>100</v>
      </c>
      <c r="X28" s="1571"/>
      <c r="Y28" s="355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040"/>
      <c r="M29" s="2032"/>
      <c r="N29" s="2032"/>
      <c r="O29" s="2032"/>
      <c r="P29" s="3553"/>
      <c r="Q29" s="1573">
        <f t="shared" si="11"/>
        <v>111</v>
      </c>
      <c r="R29" s="1574" t="s">
        <v>8</v>
      </c>
      <c r="S29" s="1575">
        <f t="shared" ref="S29:S47" si="12">F29</f>
        <v>100</v>
      </c>
      <c r="T29" s="1574" t="s">
        <v>8</v>
      </c>
      <c r="U29" s="1575">
        <f t="shared" ref="U29:U47" si="13">H29</f>
        <v>100</v>
      </c>
      <c r="V29" s="1574" t="s">
        <v>8</v>
      </c>
      <c r="W29" s="1575">
        <f t="shared" ref="W29:W47" si="14">J29</f>
        <v>100</v>
      </c>
      <c r="X29" s="1568"/>
      <c r="Y29" s="355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040"/>
      <c r="M30" s="2032"/>
      <c r="N30" s="2032"/>
      <c r="O30" s="2032"/>
      <c r="P30" s="3553"/>
      <c r="Q30" s="1573">
        <f t="shared" si="11"/>
        <v>111</v>
      </c>
      <c r="R30" s="1574" t="s">
        <v>8</v>
      </c>
      <c r="S30" s="1575">
        <f t="shared" si="12"/>
        <v>100</v>
      </c>
      <c r="T30" s="1574" t="s">
        <v>8</v>
      </c>
      <c r="U30" s="1575">
        <f t="shared" si="13"/>
        <v>100</v>
      </c>
      <c r="V30" s="1574" t="s">
        <v>8</v>
      </c>
      <c r="W30" s="1575">
        <f t="shared" si="14"/>
        <v>100</v>
      </c>
      <c r="X30" s="1568"/>
      <c r="Y30" s="355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040"/>
      <c r="M31" s="2032"/>
      <c r="N31" s="2032"/>
      <c r="O31" s="2032"/>
      <c r="P31" s="3553"/>
      <c r="Q31" s="1573">
        <f t="shared" si="11"/>
        <v>111</v>
      </c>
      <c r="R31" s="1574" t="s">
        <v>8</v>
      </c>
      <c r="S31" s="1575">
        <f t="shared" si="12"/>
        <v>100</v>
      </c>
      <c r="T31" s="1574" t="s">
        <v>8</v>
      </c>
      <c r="U31" s="1575">
        <f t="shared" si="13"/>
        <v>100</v>
      </c>
      <c r="V31" s="1574" t="s">
        <v>8</v>
      </c>
      <c r="W31" s="1575">
        <f t="shared" si="14"/>
        <v>100</v>
      </c>
      <c r="X31" s="1568"/>
      <c r="Y31" s="355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040"/>
      <c r="M32" s="2032"/>
      <c r="N32" s="2032"/>
      <c r="O32" s="2032"/>
      <c r="P32" s="3553"/>
      <c r="Q32" s="1573">
        <f t="shared" si="11"/>
        <v>111</v>
      </c>
      <c r="R32" s="1574" t="s">
        <v>8</v>
      </c>
      <c r="S32" s="1575">
        <f t="shared" si="12"/>
        <v>100</v>
      </c>
      <c r="T32" s="1574" t="s">
        <v>8</v>
      </c>
      <c r="U32" s="1575">
        <f t="shared" si="13"/>
        <v>100</v>
      </c>
      <c r="V32" s="1574" t="s">
        <v>8</v>
      </c>
      <c r="W32" s="1575">
        <f t="shared" si="14"/>
        <v>100</v>
      </c>
      <c r="X32" s="1568"/>
      <c r="Y32" s="3553"/>
      <c r="Z32" s="1576">
        <f t="shared" si="15"/>
        <v>111</v>
      </c>
      <c r="AA32" s="1577">
        <f t="shared" si="3"/>
        <v>1</v>
      </c>
      <c r="AB32" s="1577">
        <f t="shared" si="4"/>
        <v>1</v>
      </c>
      <c r="AC32" s="1577">
        <f t="shared" si="5"/>
        <v>1</v>
      </c>
    </row>
    <row r="33" spans="1:29" ht="15">
      <c r="A33" s="2822"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040"/>
      <c r="M33" s="2032"/>
      <c r="N33" s="2032"/>
      <c r="O33" s="2032"/>
      <c r="P33" s="3554" t="s">
        <v>548</v>
      </c>
      <c r="Q33" s="1573" t="str">
        <f t="shared" si="11"/>
        <v>建筑类型</v>
      </c>
      <c r="R33" s="1574" t="s">
        <v>8</v>
      </c>
      <c r="S33" s="1575">
        <f t="shared" si="12"/>
        <v>100</v>
      </c>
      <c r="T33" s="1574" t="s">
        <v>8</v>
      </c>
      <c r="U33" s="1575">
        <f t="shared" si="13"/>
        <v>100</v>
      </c>
      <c r="V33" s="1574" t="s">
        <v>8</v>
      </c>
      <c r="W33" s="1575">
        <f t="shared" si="14"/>
        <v>100</v>
      </c>
      <c r="X33" s="1568"/>
      <c r="Y33" s="3555"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038"/>
      <c r="M34" s="2069"/>
      <c r="N34" s="2069"/>
      <c r="O34" s="2069"/>
      <c r="P34" s="3555"/>
      <c r="Q34" s="1606" t="str">
        <f t="shared" si="11"/>
        <v>项目建筑规模</v>
      </c>
      <c r="R34" s="1578" t="s">
        <v>8</v>
      </c>
      <c r="S34" s="1579" t="e">
        <f t="shared" si="12"/>
        <v>#N/A</v>
      </c>
      <c r="T34" s="1578" t="s">
        <v>8</v>
      </c>
      <c r="U34" s="1579" t="e">
        <f t="shared" si="13"/>
        <v>#N/A</v>
      </c>
      <c r="V34" s="1578" t="s">
        <v>8</v>
      </c>
      <c r="W34" s="1579" t="e">
        <f t="shared" si="14"/>
        <v>#N/A</v>
      </c>
      <c r="X34" s="1580"/>
      <c r="Y34" s="3555"/>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040"/>
      <c r="M35" s="2032"/>
      <c r="N35" s="2032"/>
      <c r="O35" s="2032"/>
      <c r="P35" s="3555"/>
      <c r="Q35" s="1573" t="str">
        <f t="shared" si="11"/>
        <v>建筑结构</v>
      </c>
      <c r="R35" s="1574" t="s">
        <v>8</v>
      </c>
      <c r="S35" s="1575">
        <f t="shared" si="12"/>
        <v>100</v>
      </c>
      <c r="T35" s="1574" t="s">
        <v>8</v>
      </c>
      <c r="U35" s="1575">
        <f t="shared" si="13"/>
        <v>100</v>
      </c>
      <c r="V35" s="1574" t="s">
        <v>8</v>
      </c>
      <c r="W35" s="1575">
        <f t="shared" si="14"/>
        <v>100</v>
      </c>
      <c r="X35" s="1568"/>
      <c r="Y35" s="3555"/>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040"/>
      <c r="M36" s="2032"/>
      <c r="N36" s="2032"/>
      <c r="O36" s="2032"/>
      <c r="P36" s="3555"/>
      <c r="Q36" s="1573" t="str">
        <f t="shared" si="11"/>
        <v>公共部分装修</v>
      </c>
      <c r="R36" s="1574" t="s">
        <v>8</v>
      </c>
      <c r="S36" s="1575">
        <f t="shared" si="12"/>
        <v>100</v>
      </c>
      <c r="T36" s="1574" t="s">
        <v>8</v>
      </c>
      <c r="U36" s="1575">
        <f t="shared" si="13"/>
        <v>100</v>
      </c>
      <c r="V36" s="1574" t="s">
        <v>8</v>
      </c>
      <c r="W36" s="1575">
        <f t="shared" si="14"/>
        <v>100</v>
      </c>
      <c r="X36" s="1568"/>
      <c r="Y36" s="3555"/>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040"/>
      <c r="M37" s="2032"/>
      <c r="N37" s="2032"/>
      <c r="O37" s="2032"/>
      <c r="P37" s="3555"/>
      <c r="Q37" s="1573" t="str">
        <f t="shared" si="11"/>
        <v>成新度</v>
      </c>
      <c r="R37" s="1574" t="s">
        <v>8</v>
      </c>
      <c r="S37" s="1575" t="e">
        <f t="shared" si="12"/>
        <v>#N/A</v>
      </c>
      <c r="T37" s="1574" t="s">
        <v>8</v>
      </c>
      <c r="U37" s="1575" t="e">
        <f t="shared" si="13"/>
        <v>#N/A</v>
      </c>
      <c r="V37" s="1574" t="s">
        <v>8</v>
      </c>
      <c r="W37" s="1575" t="e">
        <f t="shared" si="14"/>
        <v>#N/A</v>
      </c>
      <c r="X37" s="1568"/>
      <c r="Y37" s="3555"/>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33"/>
      <c r="M38" s="2034"/>
      <c r="N38" s="2034"/>
      <c r="O38" s="2034"/>
      <c r="P38" s="3555"/>
      <c r="Q38" s="1151" t="str">
        <f t="shared" si="11"/>
        <v>写字楼等级</v>
      </c>
      <c r="R38" s="1569" t="s">
        <v>8</v>
      </c>
      <c r="S38" s="1570">
        <f t="shared" si="12"/>
        <v>100</v>
      </c>
      <c r="T38" s="1569" t="s">
        <v>8</v>
      </c>
      <c r="U38" s="1570">
        <f t="shared" si="13"/>
        <v>100</v>
      </c>
      <c r="V38" s="1569" t="s">
        <v>8</v>
      </c>
      <c r="W38" s="1570">
        <f t="shared" si="14"/>
        <v>100</v>
      </c>
      <c r="X38" s="1571"/>
      <c r="Y38" s="3555"/>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040"/>
      <c r="M39" s="2032"/>
      <c r="N39" s="2032"/>
      <c r="O39" s="2032"/>
      <c r="P39" s="3555" t="s">
        <v>548</v>
      </c>
      <c r="Q39" s="1573" t="str">
        <f t="shared" si="11"/>
        <v>物业管理</v>
      </c>
      <c r="R39" s="1574" t="s">
        <v>8</v>
      </c>
      <c r="S39" s="1575">
        <f t="shared" si="12"/>
        <v>100</v>
      </c>
      <c r="T39" s="1574" t="s">
        <v>8</v>
      </c>
      <c r="U39" s="1575">
        <f t="shared" si="13"/>
        <v>100</v>
      </c>
      <c r="V39" s="1574" t="s">
        <v>8</v>
      </c>
      <c r="W39" s="1575">
        <f t="shared" si="14"/>
        <v>100</v>
      </c>
      <c r="X39" s="1568"/>
      <c r="Y39" s="3555" t="s">
        <v>548</v>
      </c>
      <c r="Z39" s="1576" t="str">
        <f t="shared" si="15"/>
        <v>物业管理</v>
      </c>
      <c r="AA39" s="1577">
        <f t="shared" si="3"/>
        <v>1</v>
      </c>
      <c r="AB39" s="1577">
        <f t="shared" si="4"/>
        <v>1</v>
      </c>
      <c r="AC39" s="1577">
        <f t="shared" si="5"/>
        <v>1</v>
      </c>
    </row>
    <row r="40" spans="1:29" ht="15">
      <c r="A40" s="594"/>
      <c r="B40" s="1793"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040"/>
      <c r="M40" s="2032"/>
      <c r="N40" s="2032"/>
      <c r="O40" s="2032"/>
      <c r="P40" s="3555"/>
      <c r="Q40" s="1573" t="str">
        <f t="shared" si="11"/>
        <v>市政基础设施</v>
      </c>
      <c r="R40" s="1574" t="s">
        <v>8</v>
      </c>
      <c r="S40" s="1575">
        <f t="shared" si="12"/>
        <v>100</v>
      </c>
      <c r="T40" s="1574" t="s">
        <v>8</v>
      </c>
      <c r="U40" s="1575">
        <f t="shared" si="13"/>
        <v>100</v>
      </c>
      <c r="V40" s="1574" t="s">
        <v>8</v>
      </c>
      <c r="W40" s="1575">
        <f t="shared" si="14"/>
        <v>100</v>
      </c>
      <c r="X40" s="1568"/>
      <c r="Y40" s="3555"/>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040"/>
      <c r="M41" s="2032"/>
      <c r="N41" s="2032"/>
      <c r="O41" s="2032"/>
      <c r="P41" s="3555"/>
      <c r="Q41" s="1573" t="str">
        <f t="shared" si="11"/>
        <v>层高</v>
      </c>
      <c r="R41" s="1574" t="s">
        <v>8</v>
      </c>
      <c r="S41" s="1575">
        <f t="shared" si="12"/>
        <v>100</v>
      </c>
      <c r="T41" s="1574" t="s">
        <v>8</v>
      </c>
      <c r="U41" s="1575">
        <f t="shared" si="13"/>
        <v>100</v>
      </c>
      <c r="V41" s="1574" t="s">
        <v>8</v>
      </c>
      <c r="W41" s="1575">
        <f t="shared" si="14"/>
        <v>100</v>
      </c>
      <c r="X41" s="1568"/>
      <c r="Y41" s="3555"/>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038"/>
      <c r="M42" s="2069"/>
      <c r="N42" s="2069"/>
      <c r="O42" s="2069"/>
      <c r="P42" s="3555"/>
      <c r="Q42" s="1606" t="str">
        <f t="shared" si="11"/>
        <v>单套建筑面积</v>
      </c>
      <c r="R42" s="1578" t="s">
        <v>8</v>
      </c>
      <c r="S42" s="1579">
        <f t="shared" si="12"/>
        <v>100</v>
      </c>
      <c r="T42" s="1578" t="s">
        <v>8</v>
      </c>
      <c r="U42" s="1579">
        <f t="shared" si="13"/>
        <v>100</v>
      </c>
      <c r="V42" s="1578" t="s">
        <v>8</v>
      </c>
      <c r="W42" s="1579">
        <f t="shared" si="14"/>
        <v>100</v>
      </c>
      <c r="X42" s="1580"/>
      <c r="Y42" s="3555"/>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040"/>
      <c r="M43" s="2032"/>
      <c r="N43" s="2032"/>
      <c r="O43" s="2032"/>
      <c r="P43" s="3555"/>
      <c r="Q43" s="1573" t="str">
        <f t="shared" si="11"/>
        <v>内部装修</v>
      </c>
      <c r="R43" s="1574" t="s">
        <v>8</v>
      </c>
      <c r="S43" s="1575">
        <f t="shared" si="12"/>
        <v>100</v>
      </c>
      <c r="T43" s="1574" t="s">
        <v>8</v>
      </c>
      <c r="U43" s="1575">
        <f t="shared" si="13"/>
        <v>100</v>
      </c>
      <c r="V43" s="1574" t="s">
        <v>8</v>
      </c>
      <c r="W43" s="1575">
        <f t="shared" si="14"/>
        <v>100</v>
      </c>
      <c r="X43" s="1568"/>
      <c r="Y43" s="3555"/>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040"/>
      <c r="M44" s="2032"/>
      <c r="N44" s="2032"/>
      <c r="O44" s="2032"/>
      <c r="P44" s="3555"/>
      <c r="Q44" s="1573" t="str">
        <f t="shared" si="11"/>
        <v>内部装修维护情况</v>
      </c>
      <c r="R44" s="1574" t="s">
        <v>8</v>
      </c>
      <c r="S44" s="1575">
        <f t="shared" si="12"/>
        <v>100</v>
      </c>
      <c r="T44" s="1574" t="s">
        <v>8</v>
      </c>
      <c r="U44" s="1575">
        <f t="shared" si="13"/>
        <v>100</v>
      </c>
      <c r="V44" s="1574" t="s">
        <v>8</v>
      </c>
      <c r="W44" s="1575">
        <f t="shared" si="14"/>
        <v>100</v>
      </c>
      <c r="X44" s="1568"/>
      <c r="Y44" s="355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033"/>
      <c r="M45" s="2034"/>
      <c r="N45" s="2034"/>
      <c r="O45" s="2034"/>
      <c r="P45" s="3555"/>
      <c r="Q45" s="1151">
        <f t="shared" si="11"/>
        <v>111</v>
      </c>
      <c r="R45" s="1569" t="s">
        <v>8</v>
      </c>
      <c r="S45" s="1570">
        <f t="shared" si="12"/>
        <v>100</v>
      </c>
      <c r="T45" s="1569" t="s">
        <v>8</v>
      </c>
      <c r="U45" s="1570">
        <f t="shared" si="13"/>
        <v>100</v>
      </c>
      <c r="V45" s="1569" t="s">
        <v>8</v>
      </c>
      <c r="W45" s="1570">
        <f t="shared" si="14"/>
        <v>100</v>
      </c>
      <c r="X45" s="1571"/>
      <c r="Y45" s="355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040"/>
      <c r="M46" s="2032"/>
      <c r="N46" s="2032"/>
      <c r="O46" s="2032"/>
      <c r="P46" s="3555"/>
      <c r="Q46" s="1573">
        <f t="shared" si="11"/>
        <v>111</v>
      </c>
      <c r="R46" s="1574" t="s">
        <v>8</v>
      </c>
      <c r="S46" s="1575">
        <f t="shared" si="12"/>
        <v>100</v>
      </c>
      <c r="T46" s="1574" t="s">
        <v>8</v>
      </c>
      <c r="U46" s="1575">
        <f t="shared" si="13"/>
        <v>100</v>
      </c>
      <c r="V46" s="1574" t="s">
        <v>8</v>
      </c>
      <c r="W46" s="1575">
        <f t="shared" si="14"/>
        <v>100</v>
      </c>
      <c r="X46" s="1568"/>
      <c r="Y46" s="355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040"/>
      <c r="M47" s="2032"/>
      <c r="N47" s="2032"/>
      <c r="O47" s="2032"/>
      <c r="P47" s="3657"/>
      <c r="Q47" s="1573">
        <f t="shared" si="11"/>
        <v>111</v>
      </c>
      <c r="R47" s="1574" t="s">
        <v>8</v>
      </c>
      <c r="S47" s="1575">
        <f t="shared" si="12"/>
        <v>100</v>
      </c>
      <c r="T47" s="1574" t="s">
        <v>8</v>
      </c>
      <c r="U47" s="1575">
        <f t="shared" si="13"/>
        <v>100</v>
      </c>
      <c r="V47" s="1574" t="s">
        <v>8</v>
      </c>
      <c r="W47" s="1575">
        <f t="shared" si="14"/>
        <v>100</v>
      </c>
      <c r="X47" s="1568"/>
      <c r="Y47" s="3657"/>
      <c r="Z47" s="1576">
        <f t="shared" si="15"/>
        <v>111</v>
      </c>
      <c r="AA47" s="1577">
        <f t="shared" si="3"/>
        <v>1</v>
      </c>
      <c r="AB47" s="1577">
        <f t="shared" si="4"/>
        <v>1</v>
      </c>
      <c r="AC47" s="1577">
        <f t="shared" si="5"/>
        <v>1</v>
      </c>
    </row>
    <row r="48" spans="1:29" ht="15">
      <c r="A48" s="607" t="s">
        <v>734</v>
      </c>
      <c r="B48" s="887"/>
      <c r="C48" s="2546" t="s">
        <v>1</v>
      </c>
      <c r="D48" s="2547"/>
      <c r="E48" s="2548"/>
      <c r="F48" s="2549"/>
      <c r="G48" s="2550"/>
      <c r="H48" s="2551"/>
      <c r="I48" s="2548"/>
      <c r="J48" s="2551"/>
      <c r="K48" s="1612"/>
      <c r="L48" s="2042"/>
      <c r="M48" s="2032"/>
      <c r="N48" s="2032"/>
      <c r="O48" s="2032"/>
      <c r="P48" s="3571" t="str">
        <f>A48</f>
        <v>成交单价（元/平方米）</v>
      </c>
      <c r="Q48" s="3550"/>
      <c r="R48" s="3656">
        <f>E48</f>
        <v>0</v>
      </c>
      <c r="S48" s="3656"/>
      <c r="T48" s="3656">
        <f>G48</f>
        <v>0</v>
      </c>
      <c r="U48" s="3656"/>
      <c r="V48" s="3656">
        <f>I48</f>
        <v>0</v>
      </c>
      <c r="W48" s="3656"/>
      <c r="X48" s="1560"/>
      <c r="Y48" s="1582"/>
      <c r="Z48" s="1560"/>
      <c r="AA48" s="1560"/>
      <c r="AB48" s="1560"/>
      <c r="AC48" s="1560"/>
    </row>
    <row r="49" spans="1:29" ht="15.75" thickBot="1">
      <c r="A49" s="615" t="s">
        <v>2759</v>
      </c>
      <c r="B49" s="888"/>
      <c r="C49" s="2552" t="e">
        <f>R50</f>
        <v>#DIV/0!</v>
      </c>
      <c r="D49" s="2553"/>
      <c r="E49" s="2554" t="e">
        <f>R49</f>
        <v>#DIV/0!</v>
      </c>
      <c r="F49" s="2554"/>
      <c r="G49" s="2552" t="e">
        <f>T49</f>
        <v>#DIV/0!</v>
      </c>
      <c r="H49" s="2553"/>
      <c r="I49" s="2554" t="e">
        <f>V49</f>
        <v>#DIV/0!</v>
      </c>
      <c r="J49" s="2553"/>
      <c r="K49" s="1613"/>
      <c r="L49" s="2042"/>
      <c r="M49" s="2032"/>
      <c r="N49" s="2032"/>
      <c r="O49" s="2032"/>
      <c r="P49" s="3571" t="str">
        <f>A49</f>
        <v>比较价格（元/平方米）</v>
      </c>
      <c r="Q49" s="3550"/>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60"/>
      <c r="Y49" s="1560"/>
      <c r="Z49" s="1560"/>
      <c r="AA49" s="1560"/>
      <c r="AB49" s="1560"/>
      <c r="AC49" s="1560"/>
    </row>
    <row r="50" spans="1:29" ht="15.75" thickBot="1">
      <c r="A50" s="621" t="s">
        <v>2922</v>
      </c>
      <c r="B50" s="622"/>
      <c r="C50" s="2555" t="e">
        <f>R50</f>
        <v>#DIV/0!</v>
      </c>
      <c r="D50" s="2555"/>
      <c r="E50" s="2555"/>
      <c r="F50" s="2555"/>
      <c r="G50" s="2555"/>
      <c r="H50" s="2555"/>
      <c r="I50" s="2555"/>
      <c r="J50" s="2555"/>
      <c r="K50" s="1614"/>
      <c r="L50" s="2042"/>
      <c r="M50" s="2032"/>
      <c r="N50" s="2032"/>
      <c r="O50" s="2032"/>
      <c r="P50" s="3661" t="str">
        <f>A50</f>
        <v>估价对象XX用房的比较价格（楼面单价，元/平方米）</v>
      </c>
      <c r="Q50" s="3571"/>
      <c r="R50" s="3655" t="e">
        <f>IF(F1="售价",ROUND(AVERAGE(R49:V49),0),ROUND(AVERAGE(R49:V49),1))</f>
        <v>#DIV/0!</v>
      </c>
      <c r="S50" s="3655"/>
      <c r="T50" s="3655"/>
      <c r="U50" s="3655"/>
      <c r="V50" s="3655"/>
      <c r="W50" s="3655"/>
      <c r="X50" s="1560"/>
      <c r="Y50" s="1560"/>
      <c r="Z50" s="1560"/>
      <c r="AA50" s="1560"/>
      <c r="AB50" s="1560"/>
      <c r="AC50" s="1560"/>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3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585" t="s">
        <v>572</v>
      </c>
      <c r="B58" s="1560"/>
      <c r="C58" s="1584"/>
      <c r="D58" s="1584"/>
      <c r="E58" s="1584"/>
      <c r="F58" s="1586"/>
      <c r="G58" s="1586"/>
      <c r="H58" s="1584"/>
      <c r="I58" s="1584"/>
      <c r="J58" s="1584"/>
      <c r="K58" s="1587"/>
      <c r="L58" s="1583"/>
      <c r="M58" s="1584"/>
      <c r="N58" s="1584"/>
      <c r="O58" s="1584"/>
      <c r="P58" s="2108"/>
      <c r="Q58" s="2056"/>
      <c r="R58" s="2043"/>
      <c r="S58" s="2043"/>
      <c r="T58" s="2043"/>
      <c r="U58" s="2043"/>
      <c r="V58" s="2043"/>
      <c r="W58" s="2043"/>
      <c r="X58" s="2043"/>
      <c r="Y58" s="2043"/>
      <c r="Z58" s="2043"/>
      <c r="AA58" s="2043"/>
      <c r="AB58" s="2043"/>
      <c r="AC58" s="2043"/>
    </row>
    <row r="59" spans="1:29" s="1347" customFormat="1" ht="15">
      <c r="A59" s="645" t="s">
        <v>527</v>
      </c>
      <c r="B59" s="646"/>
      <c r="C59" s="2717" t="str">
        <f>YEAR(C7)&amp;"-"&amp;MONTH(C7)</f>
        <v>2017-12</v>
      </c>
      <c r="D59" s="2719">
        <f>EDATE(C59,-1)</f>
        <v>43040</v>
      </c>
      <c r="E59" s="2719">
        <f t="shared" ref="E59:O59" si="16">EDATE(D59,-1)</f>
        <v>43009</v>
      </c>
      <c r="F59" s="2719">
        <f t="shared" si="16"/>
        <v>42979</v>
      </c>
      <c r="G59" s="2719">
        <f t="shared" si="16"/>
        <v>42948</v>
      </c>
      <c r="H59" s="2719">
        <f t="shared" si="16"/>
        <v>42917</v>
      </c>
      <c r="I59" s="2719">
        <f t="shared" si="16"/>
        <v>42887</v>
      </c>
      <c r="J59" s="2719">
        <f t="shared" si="16"/>
        <v>42856</v>
      </c>
      <c r="K59" s="2719">
        <f t="shared" si="16"/>
        <v>42826</v>
      </c>
      <c r="L59" s="2719">
        <f t="shared" si="16"/>
        <v>42795</v>
      </c>
      <c r="M59" s="2719">
        <f t="shared" si="16"/>
        <v>42767</v>
      </c>
      <c r="N59" s="2719">
        <f t="shared" si="16"/>
        <v>42736</v>
      </c>
      <c r="O59" s="2719">
        <f t="shared" si="16"/>
        <v>42705</v>
      </c>
      <c r="P59" s="2109"/>
      <c r="Q59" s="2059"/>
      <c r="R59" s="2059"/>
      <c r="S59" s="2059"/>
      <c r="T59" s="2059"/>
      <c r="U59" s="2059"/>
      <c r="V59" s="2059"/>
      <c r="W59" s="2059"/>
      <c r="X59" s="2059"/>
      <c r="Y59" s="2059"/>
      <c r="Z59" s="2059"/>
      <c r="AA59" s="2059"/>
      <c r="AB59" s="2059"/>
      <c r="AC59" s="2059"/>
    </row>
    <row r="60" spans="1:29" s="1220" customFormat="1" ht="15">
      <c r="A60" s="647"/>
      <c r="B60" s="648"/>
      <c r="C60" s="649">
        <v>100</v>
      </c>
      <c r="D60" s="650"/>
      <c r="E60" s="650"/>
      <c r="F60" s="650"/>
      <c r="G60" s="650"/>
      <c r="H60" s="650"/>
      <c r="I60" s="650"/>
      <c r="J60" s="650"/>
      <c r="K60" s="650"/>
      <c r="L60" s="650"/>
      <c r="M60" s="651"/>
      <c r="N60" s="650"/>
      <c r="O60" s="651"/>
      <c r="P60" s="2110"/>
      <c r="Q60" s="1891"/>
      <c r="R60" s="1891"/>
      <c r="S60" s="1891"/>
      <c r="T60" s="1891"/>
      <c r="U60" s="1891"/>
      <c r="V60" s="1891"/>
      <c r="W60" s="1891"/>
      <c r="X60" s="1891"/>
      <c r="Y60" s="1891"/>
      <c r="Z60" s="1891"/>
      <c r="AA60" s="1891"/>
      <c r="AB60" s="1891"/>
      <c r="AC60" s="1891"/>
    </row>
    <row r="61" spans="1:29" s="1220" customFormat="1" ht="15.75" thickBot="1">
      <c r="A61" s="653" t="s">
        <v>573</v>
      </c>
      <c r="B61" s="654"/>
      <c r="C61" s="655"/>
      <c r="D61" s="656"/>
      <c r="E61" s="656"/>
      <c r="F61" s="656"/>
      <c r="G61" s="656"/>
      <c r="H61" s="656"/>
      <c r="I61" s="656"/>
      <c r="J61" s="656"/>
      <c r="K61" s="656"/>
      <c r="L61" s="656"/>
      <c r="M61" s="657"/>
      <c r="N61" s="656"/>
      <c r="O61" s="657"/>
      <c r="P61" s="2110"/>
      <c r="Q61" s="2056"/>
      <c r="R61" s="1891"/>
      <c r="S61" s="1891"/>
      <c r="T61" s="1891"/>
      <c r="U61" s="1891"/>
      <c r="V61" s="1891"/>
      <c r="W61" s="1891"/>
      <c r="X61" s="1891"/>
      <c r="Y61" s="1891"/>
      <c r="Z61" s="1891"/>
      <c r="AA61" s="1891"/>
      <c r="AB61" s="1891"/>
      <c r="AC61" s="1891"/>
    </row>
    <row r="62" spans="1:29" s="1220" customFormat="1" ht="15">
      <c r="A62" s="659" t="s">
        <v>529</v>
      </c>
      <c r="B62" s="648"/>
      <c r="C62" s="660" t="s">
        <v>574</v>
      </c>
      <c r="D62" s="661"/>
      <c r="E62" s="661"/>
      <c r="F62" s="661"/>
      <c r="G62" s="661"/>
      <c r="H62" s="661"/>
      <c r="I62" s="661"/>
      <c r="J62" s="661"/>
      <c r="K62" s="661"/>
      <c r="L62" s="662"/>
      <c r="M62" s="663"/>
      <c r="N62" s="2060"/>
      <c r="O62" s="2060"/>
      <c r="P62" s="2111"/>
      <c r="Q62" s="2056"/>
      <c r="R62" s="1891"/>
      <c r="S62" s="1891"/>
      <c r="T62" s="1891"/>
      <c r="U62" s="1891"/>
      <c r="V62" s="1891"/>
      <c r="W62" s="1891"/>
      <c r="X62" s="1891"/>
      <c r="Y62" s="1891"/>
      <c r="Z62" s="1891"/>
      <c r="AA62" s="1891"/>
      <c r="AB62" s="1891"/>
      <c r="AC62" s="1891"/>
    </row>
    <row r="63" spans="1:29" s="1220" customFormat="1" ht="15.75" thickBot="1">
      <c r="A63" s="659"/>
      <c r="B63" s="648"/>
      <c r="C63" s="889">
        <v>100</v>
      </c>
      <c r="D63" s="650"/>
      <c r="E63" s="650"/>
      <c r="F63" s="650"/>
      <c r="G63" s="650"/>
      <c r="H63" s="650"/>
      <c r="I63" s="650"/>
      <c r="J63" s="650"/>
      <c r="K63" s="650"/>
      <c r="L63" s="650"/>
      <c r="M63" s="652"/>
      <c r="N63" s="2060"/>
      <c r="O63" s="2060"/>
      <c r="P63" s="2110"/>
      <c r="Q63" s="2056"/>
      <c r="R63" s="1891"/>
      <c r="S63" s="1891"/>
      <c r="T63" s="1891"/>
      <c r="U63" s="1891"/>
      <c r="V63" s="1891"/>
      <c r="W63" s="1891"/>
      <c r="X63" s="1891"/>
      <c r="Y63" s="1891"/>
      <c r="Z63" s="1891"/>
      <c r="AA63" s="1891"/>
      <c r="AB63" s="1891"/>
      <c r="AC63" s="1891"/>
    </row>
    <row r="64" spans="1:29">
      <c r="A64" s="664" t="s">
        <v>575</v>
      </c>
      <c r="B64" s="665" t="s">
        <v>532</v>
      </c>
      <c r="C64" s="704">
        <f>C9</f>
        <v>0</v>
      </c>
      <c r="D64" s="598"/>
      <c r="E64" s="598"/>
      <c r="F64" s="598"/>
      <c r="G64" s="598"/>
      <c r="H64" s="598"/>
      <c r="I64" s="598"/>
      <c r="J64" s="598"/>
      <c r="K64" s="666"/>
      <c r="L64" s="667"/>
      <c r="M64" s="668"/>
      <c r="N64" s="2062"/>
      <c r="O64" s="2062"/>
      <c r="P64" s="2112"/>
      <c r="Q64" s="2056"/>
      <c r="R64" s="2043"/>
      <c r="S64" s="2043"/>
      <c r="T64" s="2043"/>
      <c r="U64" s="2043"/>
      <c r="V64" s="2043"/>
      <c r="W64" s="2043"/>
      <c r="X64" s="2043"/>
      <c r="Y64" s="2043"/>
      <c r="Z64" s="2043"/>
      <c r="AA64" s="2043"/>
      <c r="AB64" s="2043"/>
      <c r="AC64" s="2043"/>
    </row>
    <row r="65" spans="1:29" ht="15.75" thickBot="1">
      <c r="A65" s="669"/>
      <c r="B65" s="670"/>
      <c r="C65" s="671"/>
      <c r="D65" s="671"/>
      <c r="E65" s="671"/>
      <c r="F65" s="671"/>
      <c r="G65" s="671"/>
      <c r="H65" s="671"/>
      <c r="I65" s="671"/>
      <c r="J65" s="671"/>
      <c r="K65" s="671"/>
      <c r="L65" s="671"/>
      <c r="M65" s="672"/>
      <c r="N65" s="2064"/>
      <c r="O65" s="2064"/>
      <c r="P65" s="2112"/>
      <c r="Q65" s="2056"/>
      <c r="R65" s="2043"/>
      <c r="S65" s="2043"/>
      <c r="T65" s="2043"/>
      <c r="U65" s="2043"/>
      <c r="V65" s="2043"/>
      <c r="W65" s="2043"/>
      <c r="X65" s="2043"/>
      <c r="Y65" s="2043"/>
      <c r="Z65" s="2043"/>
      <c r="AA65" s="2043"/>
      <c r="AB65" s="2043"/>
      <c r="AC65" s="2043"/>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062"/>
      <c r="O66" s="2062"/>
      <c r="P66" s="2112"/>
      <c r="Q66" s="2056"/>
      <c r="R66" s="2043"/>
      <c r="S66" s="2043"/>
      <c r="T66" s="2043"/>
      <c r="U66" s="2043"/>
      <c r="V66" s="2043"/>
      <c r="W66" s="2043"/>
      <c r="X66" s="2043"/>
      <c r="Y66" s="2043"/>
      <c r="Z66" s="2043"/>
      <c r="AA66" s="2043"/>
      <c r="AB66" s="2043"/>
      <c r="AC66" s="20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064"/>
      <c r="O67" s="2064"/>
      <c r="P67" s="2112"/>
      <c r="Q67" s="2056"/>
      <c r="R67" s="2043"/>
      <c r="S67" s="2043"/>
      <c r="T67" s="2043"/>
      <c r="U67" s="2043"/>
      <c r="V67" s="2043"/>
      <c r="W67" s="2043"/>
      <c r="X67" s="2043"/>
      <c r="Y67" s="2043"/>
      <c r="Z67" s="2043"/>
      <c r="AA67" s="2043"/>
      <c r="AB67" s="2043"/>
      <c r="AC67" s="2043"/>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669"/>
      <c r="B69" s="683"/>
      <c r="C69" s="541"/>
      <c r="D69" s="541"/>
      <c r="E69" s="541"/>
      <c r="F69" s="541"/>
      <c r="G69" s="541"/>
      <c r="H69" s="541"/>
      <c r="I69" s="541"/>
      <c r="J69" s="541"/>
      <c r="K69" s="684"/>
      <c r="L69" s="685"/>
      <c r="M69" s="686"/>
      <c r="N69" s="2062"/>
      <c r="O69" s="2062"/>
      <c r="P69" s="2112"/>
      <c r="Q69" s="2056"/>
      <c r="R69" s="2043"/>
      <c r="S69" s="2043"/>
      <c r="T69" s="2043"/>
      <c r="U69" s="2043"/>
      <c r="V69" s="2043"/>
      <c r="W69" s="2043"/>
      <c r="X69" s="2043"/>
      <c r="Y69" s="2043"/>
      <c r="Z69" s="2043"/>
      <c r="AA69" s="2043"/>
      <c r="AB69" s="2043"/>
      <c r="AC69" s="20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064"/>
      <c r="O70" s="2064"/>
      <c r="P70" s="2112"/>
      <c r="Q70" s="2056"/>
      <c r="R70" s="2043"/>
      <c r="S70" s="2043"/>
      <c r="T70" s="2043"/>
      <c r="U70" s="2043"/>
      <c r="V70" s="2043"/>
      <c r="W70" s="2043"/>
      <c r="X70" s="2043"/>
      <c r="Y70" s="2043"/>
      <c r="Z70" s="2043"/>
      <c r="AA70" s="2043"/>
      <c r="AB70" s="2043"/>
      <c r="AC70" s="2043"/>
    </row>
    <row r="71" spans="1:29" s="1339" customFormat="1" ht="15.75" thickTop="1">
      <c r="A71" s="687"/>
      <c r="B71" s="673">
        <f>B12</f>
        <v>111</v>
      </c>
      <c r="C71" s="688"/>
      <c r="D71" s="688"/>
      <c r="E71" s="688"/>
      <c r="F71" s="688"/>
      <c r="G71" s="688"/>
      <c r="H71" s="689"/>
      <c r="I71" s="689"/>
      <c r="J71" s="689"/>
      <c r="K71" s="689"/>
      <c r="L71" s="690"/>
      <c r="M71" s="691"/>
      <c r="N71" s="2065"/>
      <c r="O71" s="2065"/>
      <c r="P71" s="2113"/>
      <c r="Q71" s="2067"/>
      <c r="R71" s="2068"/>
      <c r="S71" s="2068"/>
      <c r="T71" s="2068"/>
      <c r="U71" s="2068"/>
      <c r="V71" s="2068"/>
      <c r="W71" s="2068"/>
      <c r="X71" s="2068"/>
      <c r="Y71" s="2068"/>
      <c r="Z71" s="2068"/>
      <c r="AA71" s="2068"/>
      <c r="AB71" s="2068"/>
      <c r="AC71" s="2068"/>
    </row>
    <row r="72" spans="1:29" s="1339" customFormat="1" ht="15.75" thickBot="1">
      <c r="A72" s="687"/>
      <c r="B72" s="678"/>
      <c r="C72" s="692"/>
      <c r="D72" s="671"/>
      <c r="E72" s="671"/>
      <c r="F72" s="671"/>
      <c r="G72" s="671"/>
      <c r="H72" s="671"/>
      <c r="I72" s="671"/>
      <c r="J72" s="671"/>
      <c r="K72" s="671"/>
      <c r="L72" s="671"/>
      <c r="M72" s="672"/>
      <c r="N72" s="2064"/>
      <c r="O72" s="2064"/>
      <c r="P72" s="2113"/>
      <c r="Q72" s="2067"/>
      <c r="R72" s="2068"/>
      <c r="S72" s="2068"/>
      <c r="T72" s="2068"/>
      <c r="U72" s="2068"/>
      <c r="V72" s="2068"/>
      <c r="W72" s="2068"/>
      <c r="X72" s="2068"/>
      <c r="Y72" s="2068"/>
      <c r="Z72" s="2068"/>
      <c r="AA72" s="2068"/>
      <c r="AB72" s="2068"/>
      <c r="AC72" s="2068"/>
    </row>
    <row r="73" spans="1:29" s="1339" customFormat="1" ht="15.75" thickTop="1">
      <c r="A73" s="687"/>
      <c r="B73" s="673">
        <f>B13</f>
        <v>111</v>
      </c>
      <c r="C73" s="688"/>
      <c r="D73" s="688"/>
      <c r="E73" s="688"/>
      <c r="F73" s="688"/>
      <c r="G73" s="688"/>
      <c r="H73" s="689"/>
      <c r="I73" s="689"/>
      <c r="J73" s="689"/>
      <c r="K73" s="689"/>
      <c r="L73" s="690"/>
      <c r="M73" s="691"/>
      <c r="N73" s="2065"/>
      <c r="O73" s="2065"/>
      <c r="P73" s="2114"/>
      <c r="Q73" s="2070"/>
      <c r="R73" s="2068"/>
      <c r="S73" s="2068"/>
      <c r="T73" s="2068"/>
      <c r="U73" s="2068"/>
      <c r="V73" s="2068"/>
      <c r="W73" s="2068"/>
      <c r="X73" s="2068"/>
      <c r="Y73" s="2068"/>
      <c r="Z73" s="2068"/>
      <c r="AA73" s="2068"/>
      <c r="AB73" s="2068"/>
      <c r="AC73" s="2068"/>
    </row>
    <row r="74" spans="1:29" s="1339" customFormat="1" ht="15.75" thickBot="1">
      <c r="A74" s="687"/>
      <c r="B74" s="678"/>
      <c r="C74" s="692"/>
      <c r="D74" s="692"/>
      <c r="E74" s="692"/>
      <c r="F74" s="692"/>
      <c r="G74" s="692"/>
      <c r="H74" s="693"/>
      <c r="I74" s="693"/>
      <c r="J74" s="693"/>
      <c r="K74" s="693"/>
      <c r="L74" s="693"/>
      <c r="M74" s="694"/>
      <c r="N74" s="2065"/>
      <c r="O74" s="2065"/>
      <c r="P74" s="2113"/>
      <c r="Q74" s="2067"/>
      <c r="R74" s="2068"/>
      <c r="S74" s="2068"/>
      <c r="T74" s="2068"/>
      <c r="U74" s="2068"/>
      <c r="V74" s="2068"/>
      <c r="W74" s="2068"/>
      <c r="X74" s="2068"/>
      <c r="Y74" s="2068"/>
      <c r="Z74" s="2068"/>
      <c r="AA74" s="2068"/>
      <c r="AB74" s="2068"/>
      <c r="AC74" s="2068"/>
    </row>
    <row r="75" spans="1:29" s="1339" customFormat="1" ht="15.75" thickTop="1">
      <c r="A75" s="687"/>
      <c r="B75" s="681">
        <f>B14</f>
        <v>111</v>
      </c>
      <c r="C75" s="661"/>
      <c r="D75" s="661"/>
      <c r="E75" s="661"/>
      <c r="F75" s="661"/>
      <c r="G75" s="661"/>
      <c r="H75" s="695"/>
      <c r="I75" s="695"/>
      <c r="J75" s="695"/>
      <c r="K75" s="695"/>
      <c r="L75" s="696"/>
      <c r="M75" s="697"/>
      <c r="N75" s="2065"/>
      <c r="O75" s="2065"/>
      <c r="P75" s="2115"/>
      <c r="Q75" s="2067"/>
      <c r="R75" s="2068"/>
      <c r="S75" s="2068"/>
      <c r="T75" s="2068"/>
      <c r="U75" s="2068"/>
      <c r="V75" s="2068"/>
      <c r="W75" s="2068"/>
      <c r="X75" s="2068"/>
      <c r="Y75" s="2068"/>
      <c r="Z75" s="2068"/>
      <c r="AA75" s="2068"/>
      <c r="AB75" s="2068"/>
      <c r="AC75" s="2068"/>
    </row>
    <row r="76" spans="1:29" s="1339" customFormat="1" ht="15.75" thickBot="1">
      <c r="A76" s="698"/>
      <c r="B76" s="699"/>
      <c r="C76" s="700"/>
      <c r="D76" s="700"/>
      <c r="E76" s="700"/>
      <c r="F76" s="700"/>
      <c r="G76" s="700"/>
      <c r="H76" s="701"/>
      <c r="I76" s="701"/>
      <c r="J76" s="701"/>
      <c r="K76" s="701"/>
      <c r="L76" s="701"/>
      <c r="M76" s="702"/>
      <c r="N76" s="2065"/>
      <c r="O76" s="2065"/>
      <c r="P76" s="2113"/>
      <c r="Q76" s="2067"/>
      <c r="R76" s="2068"/>
      <c r="S76" s="2068"/>
      <c r="T76" s="2068"/>
      <c r="U76" s="2068"/>
      <c r="V76" s="2068"/>
      <c r="W76" s="2068"/>
      <c r="X76" s="2068"/>
      <c r="Y76" s="2068"/>
      <c r="Z76" s="2068"/>
      <c r="AA76" s="2068"/>
      <c r="AB76" s="2068"/>
      <c r="AC76" s="2068"/>
    </row>
    <row r="77" spans="1:29">
      <c r="A77" s="664" t="s">
        <v>537</v>
      </c>
      <c r="B77" s="665" t="s">
        <v>583</v>
      </c>
      <c r="C77" s="703" t="s">
        <v>577</v>
      </c>
      <c r="D77" s="703" t="s">
        <v>578</v>
      </c>
      <c r="E77" s="703" t="s">
        <v>579</v>
      </c>
      <c r="F77" s="703" t="s">
        <v>580</v>
      </c>
      <c r="G77" s="703" t="s">
        <v>581</v>
      </c>
      <c r="H77" s="704"/>
      <c r="I77" s="704"/>
      <c r="J77" s="704"/>
      <c r="K77" s="705"/>
      <c r="L77" s="706"/>
      <c r="M77" s="707"/>
      <c r="N77" s="2062"/>
      <c r="O77" s="2062"/>
      <c r="P77" s="2116"/>
      <c r="Q77" s="2056"/>
      <c r="R77" s="2043"/>
      <c r="S77" s="2043"/>
      <c r="T77" s="2043"/>
      <c r="U77" s="2043"/>
      <c r="V77" s="2043"/>
      <c r="W77" s="2043"/>
      <c r="X77" s="2043"/>
      <c r="Y77" s="2043"/>
      <c r="Z77" s="2043"/>
      <c r="AA77" s="2043"/>
      <c r="AB77" s="2043"/>
      <c r="AC77" s="20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064"/>
      <c r="O78" s="2064"/>
      <c r="P78" s="2112"/>
      <c r="Q78" s="2056"/>
      <c r="R78" s="2043"/>
      <c r="S78" s="2043"/>
      <c r="T78" s="2043"/>
      <c r="U78" s="2043"/>
      <c r="V78" s="2043"/>
      <c r="W78" s="2043"/>
      <c r="X78" s="2043"/>
      <c r="Y78" s="2043"/>
      <c r="Z78" s="2043"/>
      <c r="AA78" s="2043"/>
      <c r="AB78" s="2043"/>
      <c r="AC78" s="2043"/>
    </row>
    <row r="79" spans="1:29" ht="15.75" thickTop="1">
      <c r="A79" s="669"/>
      <c r="B79" s="673" t="s">
        <v>584</v>
      </c>
      <c r="C79" s="708" t="s">
        <v>577</v>
      </c>
      <c r="D79" s="708" t="s">
        <v>578</v>
      </c>
      <c r="E79" s="708" t="s">
        <v>579</v>
      </c>
      <c r="F79" s="708" t="s">
        <v>580</v>
      </c>
      <c r="G79" s="708" t="s">
        <v>581</v>
      </c>
      <c r="H79" s="674"/>
      <c r="I79" s="674"/>
      <c r="J79" s="674"/>
      <c r="K79" s="675"/>
      <c r="L79" s="676"/>
      <c r="M79" s="677"/>
      <c r="N79" s="2062"/>
      <c r="O79" s="2062"/>
      <c r="P79" s="2112"/>
      <c r="Q79" s="2056"/>
      <c r="R79" s="2043"/>
      <c r="S79" s="2043"/>
      <c r="T79" s="2043"/>
      <c r="U79" s="2043"/>
      <c r="V79" s="2043"/>
      <c r="W79" s="2043"/>
      <c r="X79" s="2043"/>
      <c r="Y79" s="2043"/>
      <c r="Z79" s="2043"/>
      <c r="AA79" s="2043"/>
      <c r="AB79" s="2043"/>
      <c r="AC79" s="20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064"/>
      <c r="O80" s="2064"/>
      <c r="P80" s="2112"/>
      <c r="Q80" s="2056"/>
      <c r="R80" s="2043"/>
      <c r="S80" s="2043"/>
      <c r="T80" s="2043"/>
      <c r="U80" s="2043"/>
      <c r="V80" s="2043"/>
      <c r="W80" s="2043"/>
      <c r="X80" s="2043"/>
      <c r="Y80" s="2043"/>
      <c r="Z80" s="2043"/>
      <c r="AA80" s="2043"/>
      <c r="AB80" s="2043"/>
      <c r="AC80" s="2043"/>
    </row>
    <row r="81" spans="1:29" ht="15.75" thickTop="1">
      <c r="A81" s="669"/>
      <c r="B81" s="1794" t="s">
        <v>2554</v>
      </c>
      <c r="C81" s="708" t="s">
        <v>577</v>
      </c>
      <c r="D81" s="708" t="s">
        <v>578</v>
      </c>
      <c r="E81" s="708" t="s">
        <v>579</v>
      </c>
      <c r="F81" s="708" t="s">
        <v>580</v>
      </c>
      <c r="G81" s="708" t="s">
        <v>581</v>
      </c>
      <c r="H81" s="674"/>
      <c r="I81" s="674"/>
      <c r="J81" s="674"/>
      <c r="K81" s="675"/>
      <c r="L81" s="676"/>
      <c r="M81" s="677"/>
      <c r="N81" s="2062"/>
      <c r="O81" s="2062"/>
      <c r="P81" s="2112"/>
      <c r="Q81" s="2056"/>
      <c r="R81" s="2043"/>
      <c r="S81" s="2043"/>
      <c r="T81" s="2043"/>
      <c r="U81" s="2043"/>
      <c r="V81" s="2043"/>
      <c r="W81" s="2043"/>
      <c r="X81" s="2043"/>
      <c r="Y81" s="2043"/>
      <c r="Z81" s="2043"/>
      <c r="AA81" s="2043"/>
      <c r="AB81" s="2043"/>
      <c r="AC81" s="20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064"/>
      <c r="O82" s="2064"/>
      <c r="P82" s="2112"/>
      <c r="Q82" s="2056"/>
      <c r="R82" s="2043"/>
      <c r="S82" s="2043"/>
      <c r="T82" s="2043"/>
      <c r="U82" s="2043"/>
      <c r="V82" s="2043"/>
      <c r="W82" s="2043"/>
      <c r="X82" s="2043"/>
      <c r="Y82" s="2043"/>
      <c r="Z82" s="2043"/>
      <c r="AA82" s="2043"/>
      <c r="AB82" s="2043"/>
      <c r="AC82" s="2043"/>
    </row>
    <row r="83" spans="1:29" ht="15.75" thickTop="1">
      <c r="A83" s="669"/>
      <c r="B83" s="2516" t="s">
        <v>2555</v>
      </c>
      <c r="C83" s="2517" t="s">
        <v>2556</v>
      </c>
      <c r="D83" s="2517" t="s">
        <v>2557</v>
      </c>
      <c r="E83" s="2517" t="s">
        <v>2558</v>
      </c>
      <c r="F83" s="2517" t="s">
        <v>2559</v>
      </c>
      <c r="G83" s="2517" t="s">
        <v>2560</v>
      </c>
      <c r="H83" s="674"/>
      <c r="I83" s="674"/>
      <c r="J83" s="674"/>
      <c r="K83" s="674"/>
      <c r="L83" s="674"/>
      <c r="M83" s="2520"/>
      <c r="N83" s="2064"/>
      <c r="O83" s="2064"/>
      <c r="P83" s="2112"/>
      <c r="Q83" s="2056"/>
      <c r="R83" s="2043"/>
      <c r="S83" s="2043"/>
      <c r="T83" s="2043"/>
      <c r="U83" s="2043"/>
      <c r="V83" s="2043"/>
      <c r="W83" s="2043"/>
      <c r="X83" s="2043"/>
      <c r="Y83" s="2043"/>
      <c r="Z83" s="2043"/>
      <c r="AA83" s="2043"/>
      <c r="AB83" s="2043"/>
      <c r="AC83" s="20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064"/>
      <c r="O84" s="2064"/>
      <c r="P84" s="2112"/>
      <c r="Q84" s="2056"/>
      <c r="R84" s="2043"/>
      <c r="S84" s="2043"/>
      <c r="T84" s="2043"/>
      <c r="U84" s="2043"/>
      <c r="V84" s="2043"/>
      <c r="W84" s="2043"/>
      <c r="X84" s="2043"/>
      <c r="Y84" s="2043"/>
      <c r="Z84" s="2043"/>
      <c r="AA84" s="2043"/>
      <c r="AB84" s="2043"/>
      <c r="AC84" s="2043"/>
    </row>
    <row r="85" spans="1:29" ht="15.75" thickTop="1">
      <c r="A85" s="669"/>
      <c r="B85" s="673" t="s">
        <v>782</v>
      </c>
      <c r="C85" s="708" t="s">
        <v>577</v>
      </c>
      <c r="D85" s="708" t="s">
        <v>578</v>
      </c>
      <c r="E85" s="708" t="s">
        <v>579</v>
      </c>
      <c r="F85" s="708" t="s">
        <v>580</v>
      </c>
      <c r="G85" s="708" t="s">
        <v>581</v>
      </c>
      <c r="H85" s="674"/>
      <c r="I85" s="674"/>
      <c r="J85" s="674"/>
      <c r="K85" s="675"/>
      <c r="L85" s="676"/>
      <c r="M85" s="677"/>
      <c r="N85" s="2062"/>
      <c r="O85" s="2062"/>
      <c r="P85" s="2112"/>
      <c r="Q85" s="2056"/>
      <c r="R85" s="2043"/>
      <c r="S85" s="2043"/>
      <c r="T85" s="2043"/>
      <c r="U85" s="2043"/>
      <c r="V85" s="2043"/>
      <c r="W85" s="2043"/>
      <c r="X85" s="2043"/>
      <c r="Y85" s="2043"/>
      <c r="Z85" s="2043"/>
      <c r="AA85" s="2043"/>
      <c r="AB85" s="2043"/>
      <c r="AC85" s="20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064"/>
      <c r="O86" s="2064"/>
      <c r="P86" s="2112"/>
      <c r="Q86" s="2056"/>
      <c r="R86" s="2043"/>
      <c r="S86" s="2043"/>
      <c r="T86" s="2043"/>
      <c r="U86" s="2043"/>
      <c r="V86" s="2043"/>
      <c r="W86" s="2043"/>
      <c r="X86" s="2043"/>
      <c r="Y86" s="2043"/>
      <c r="Z86" s="2043"/>
      <c r="AA86" s="2043"/>
      <c r="AB86" s="2043"/>
      <c r="AC86" s="2043"/>
    </row>
    <row r="87" spans="1:29" s="1220" customFormat="1" ht="27.75" thickTop="1">
      <c r="A87" s="709"/>
      <c r="B87" s="673" t="s">
        <v>783</v>
      </c>
      <c r="C87" s="688"/>
      <c r="D87" s="688"/>
      <c r="E87" s="688"/>
      <c r="F87" s="688"/>
      <c r="G87" s="688"/>
      <c r="H87" s="688"/>
      <c r="I87" s="688"/>
      <c r="J87" s="688"/>
      <c r="K87" s="688"/>
      <c r="L87" s="890"/>
      <c r="M87" s="891"/>
      <c r="N87" s="2060"/>
      <c r="O87" s="2060"/>
      <c r="P87" s="2112"/>
      <c r="Q87" s="2056"/>
      <c r="R87" s="1891"/>
      <c r="S87" s="1891"/>
      <c r="T87" s="1891"/>
      <c r="U87" s="1891"/>
      <c r="V87" s="1891"/>
      <c r="W87" s="1891"/>
      <c r="X87" s="1891"/>
      <c r="Y87" s="1891"/>
      <c r="Z87" s="1891"/>
      <c r="AA87" s="1891"/>
      <c r="AB87" s="1891"/>
      <c r="AC87" s="1891"/>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064"/>
      <c r="O88" s="2064"/>
      <c r="P88" s="2112"/>
      <c r="Q88" s="2056"/>
      <c r="R88" s="1891"/>
      <c r="S88" s="1891"/>
      <c r="T88" s="1891"/>
      <c r="U88" s="1891"/>
      <c r="V88" s="1891"/>
      <c r="W88" s="1891"/>
      <c r="X88" s="1891"/>
      <c r="Y88" s="1891"/>
      <c r="Z88" s="1891"/>
      <c r="AA88" s="1891"/>
      <c r="AB88" s="1891"/>
      <c r="AC88" s="1891"/>
    </row>
    <row r="89" spans="1:29" s="1220" customFormat="1" ht="15.75" thickTop="1">
      <c r="A89" s="709"/>
      <c r="B89" s="673" t="str">
        <f>B27</f>
        <v>楼层</v>
      </c>
      <c r="C89" s="688"/>
      <c r="D89" s="688"/>
      <c r="E89" s="688"/>
      <c r="F89" s="892"/>
      <c r="G89" s="688"/>
      <c r="H89" s="688"/>
      <c r="I89" s="688"/>
      <c r="J89" s="688"/>
      <c r="K89" s="688"/>
      <c r="L89" s="688"/>
      <c r="M89" s="891"/>
      <c r="N89" s="2060"/>
      <c r="O89" s="2060"/>
      <c r="P89" s="2112"/>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064"/>
      <c r="O90" s="2064"/>
      <c r="P90" s="2112"/>
      <c r="Q90" s="2056"/>
      <c r="R90" s="1891"/>
      <c r="S90" s="1891"/>
      <c r="T90" s="1891"/>
      <c r="U90" s="1891"/>
      <c r="V90" s="1891"/>
      <c r="W90" s="1891"/>
      <c r="X90" s="1891"/>
      <c r="Y90" s="1891"/>
      <c r="Z90" s="1891"/>
      <c r="AA90" s="1891"/>
      <c r="AB90" s="1891"/>
      <c r="AC90" s="1891"/>
    </row>
    <row r="91" spans="1:29" s="1339" customFormat="1" ht="15.75" thickTop="1">
      <c r="A91" s="687"/>
      <c r="B91" s="673" t="str">
        <f>B28</f>
        <v>朝向</v>
      </c>
      <c r="C91" s="688"/>
      <c r="D91" s="688"/>
      <c r="E91" s="688"/>
      <c r="F91" s="688"/>
      <c r="G91" s="688"/>
      <c r="H91" s="689"/>
      <c r="I91" s="689"/>
      <c r="J91" s="689"/>
      <c r="K91" s="689"/>
      <c r="L91" s="690"/>
      <c r="M91" s="691"/>
      <c r="N91" s="2065"/>
      <c r="O91" s="2065"/>
      <c r="P91" s="2113"/>
      <c r="Q91" s="2067"/>
      <c r="R91" s="2068"/>
      <c r="S91" s="2068"/>
      <c r="T91" s="2068"/>
      <c r="U91" s="2068"/>
      <c r="V91" s="2068"/>
      <c r="W91" s="2068"/>
      <c r="X91" s="2068"/>
      <c r="Y91" s="2068"/>
      <c r="Z91" s="2068"/>
      <c r="AA91" s="2068"/>
      <c r="AB91" s="2068"/>
      <c r="AC91" s="206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669"/>
      <c r="B93" s="673">
        <f>B29</f>
        <v>111</v>
      </c>
      <c r="C93" s="688"/>
      <c r="D93" s="688"/>
      <c r="E93" s="688"/>
      <c r="F93" s="688"/>
      <c r="G93" s="688"/>
      <c r="H93" s="688"/>
      <c r="I93" s="688"/>
      <c r="J93" s="688"/>
      <c r="K93" s="688"/>
      <c r="L93" s="890"/>
      <c r="M93" s="891"/>
      <c r="N93" s="2062"/>
      <c r="O93" s="2062"/>
      <c r="P93" s="2112"/>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71"/>
      <c r="H94" s="671"/>
      <c r="I94" s="671"/>
      <c r="J94" s="671"/>
      <c r="K94" s="671"/>
      <c r="L94" s="671"/>
      <c r="M94" s="672"/>
      <c r="N94" s="2064"/>
      <c r="O94" s="2064"/>
      <c r="P94" s="2112"/>
      <c r="Q94" s="2056"/>
      <c r="R94" s="2043"/>
      <c r="S94" s="2043"/>
      <c r="T94" s="2043"/>
      <c r="U94" s="2043"/>
      <c r="V94" s="2043"/>
      <c r="W94" s="2043"/>
      <c r="X94" s="2043"/>
      <c r="Y94" s="2043"/>
      <c r="Z94" s="2043"/>
      <c r="AA94" s="2043"/>
      <c r="AB94" s="2043"/>
      <c r="AC94" s="2043"/>
    </row>
    <row r="95" spans="1:29" ht="15.75" thickTop="1">
      <c r="A95" s="669"/>
      <c r="B95" s="673">
        <f>B30</f>
        <v>111</v>
      </c>
      <c r="C95" s="688"/>
      <c r="D95" s="688"/>
      <c r="E95" s="688"/>
      <c r="F95" s="688"/>
      <c r="G95" s="718"/>
      <c r="H95" s="718"/>
      <c r="I95" s="718"/>
      <c r="J95" s="718"/>
      <c r="K95" s="719"/>
      <c r="L95" s="720"/>
      <c r="M95" s="721"/>
      <c r="N95" s="2062"/>
      <c r="O95" s="2062"/>
      <c r="P95" s="2112"/>
      <c r="Q95" s="2056"/>
      <c r="R95" s="2043"/>
      <c r="S95" s="2043"/>
      <c r="T95" s="2043"/>
      <c r="U95" s="2043"/>
      <c r="V95" s="2043"/>
      <c r="W95" s="2043"/>
      <c r="X95" s="2043"/>
      <c r="Y95" s="2043"/>
      <c r="Z95" s="2043"/>
      <c r="AA95" s="2043"/>
      <c r="AB95" s="2043"/>
      <c r="AC95" s="2043"/>
    </row>
    <row r="96" spans="1:29" ht="15.75" thickBot="1">
      <c r="A96" s="669"/>
      <c r="B96" s="678"/>
      <c r="C96" s="692"/>
      <c r="D96" s="692"/>
      <c r="E96" s="692"/>
      <c r="F96" s="692"/>
      <c r="G96" s="671"/>
      <c r="H96" s="671"/>
      <c r="I96" s="671"/>
      <c r="J96" s="671"/>
      <c r="K96" s="671"/>
      <c r="L96" s="671"/>
      <c r="M96" s="672"/>
      <c r="N96" s="2064"/>
      <c r="O96" s="2064"/>
      <c r="P96" s="2112"/>
      <c r="Q96" s="2056"/>
      <c r="R96" s="2043"/>
      <c r="S96" s="2043"/>
      <c r="T96" s="2043"/>
      <c r="U96" s="2043"/>
      <c r="V96" s="2043"/>
      <c r="W96" s="2043"/>
      <c r="X96" s="2043"/>
      <c r="Y96" s="2043"/>
      <c r="Z96" s="2043"/>
      <c r="AA96" s="2043"/>
      <c r="AB96" s="2043"/>
      <c r="AC96" s="2043"/>
    </row>
    <row r="97" spans="1:29" ht="15.75" thickTop="1">
      <c r="A97" s="669"/>
      <c r="B97" s="673">
        <f>B31</f>
        <v>111</v>
      </c>
      <c r="C97" s="688"/>
      <c r="D97" s="688"/>
      <c r="E97" s="688"/>
      <c r="F97" s="688"/>
      <c r="G97" s="718"/>
      <c r="H97" s="718"/>
      <c r="I97" s="718"/>
      <c r="J97" s="718"/>
      <c r="K97" s="719"/>
      <c r="L97" s="720"/>
      <c r="M97" s="721"/>
      <c r="N97" s="2062"/>
      <c r="O97" s="2062"/>
      <c r="P97" s="2112"/>
      <c r="Q97" s="2056"/>
      <c r="R97" s="2043"/>
      <c r="S97" s="2043"/>
      <c r="T97" s="2043"/>
      <c r="U97" s="2043"/>
      <c r="V97" s="2043"/>
      <c r="W97" s="2043"/>
      <c r="X97" s="2043"/>
      <c r="Y97" s="2043"/>
      <c r="Z97" s="2043"/>
      <c r="AA97" s="2043"/>
      <c r="AB97" s="2043"/>
      <c r="AC97" s="2043"/>
    </row>
    <row r="98" spans="1:29" ht="15.75" thickBot="1">
      <c r="A98" s="669"/>
      <c r="B98" s="678"/>
      <c r="C98" s="692"/>
      <c r="D98" s="671"/>
      <c r="E98" s="671"/>
      <c r="F98" s="671"/>
      <c r="G98" s="671"/>
      <c r="H98" s="671"/>
      <c r="I98" s="671"/>
      <c r="J98" s="671"/>
      <c r="K98" s="671"/>
      <c r="L98" s="671"/>
      <c r="M98" s="672"/>
      <c r="N98" s="2064"/>
      <c r="O98" s="2064"/>
      <c r="P98" s="2112"/>
      <c r="Q98" s="2056"/>
      <c r="R98" s="2043"/>
      <c r="S98" s="2043"/>
      <c r="T98" s="2043"/>
      <c r="U98" s="2043"/>
      <c r="V98" s="2043"/>
      <c r="W98" s="2043"/>
      <c r="X98" s="2043"/>
      <c r="Y98" s="2043"/>
      <c r="Z98" s="2043"/>
      <c r="AA98" s="2043"/>
      <c r="AB98" s="2043"/>
      <c r="AC98" s="2043"/>
    </row>
    <row r="99" spans="1:29" ht="15.75" thickTop="1">
      <c r="A99" s="669"/>
      <c r="B99" s="681">
        <f>B32</f>
        <v>111</v>
      </c>
      <c r="C99" s="661"/>
      <c r="D99" s="661"/>
      <c r="E99" s="661"/>
      <c r="F99" s="661"/>
      <c r="G99" s="722"/>
      <c r="H99" s="722"/>
      <c r="I99" s="722"/>
      <c r="J99" s="722"/>
      <c r="K99" s="723"/>
      <c r="L99" s="724"/>
      <c r="M99" s="725"/>
      <c r="N99" s="2062"/>
      <c r="O99" s="2062"/>
      <c r="P99" s="2112"/>
      <c r="Q99" s="2056"/>
      <c r="R99" s="2043"/>
      <c r="S99" s="2043"/>
      <c r="T99" s="2043"/>
      <c r="U99" s="2043"/>
      <c r="V99" s="2043"/>
      <c r="W99" s="2043"/>
      <c r="X99" s="2043"/>
      <c r="Y99" s="2043"/>
      <c r="Z99" s="2043"/>
      <c r="AA99" s="2043"/>
      <c r="AB99" s="2043"/>
      <c r="AC99" s="2043"/>
    </row>
    <row r="100" spans="1:29" ht="15.75" thickBot="1">
      <c r="A100" s="893"/>
      <c r="B100" s="699"/>
      <c r="C100" s="700"/>
      <c r="D100" s="700"/>
      <c r="E100" s="700"/>
      <c r="F100" s="700"/>
      <c r="G100" s="726"/>
      <c r="H100" s="726"/>
      <c r="I100" s="726"/>
      <c r="J100" s="726"/>
      <c r="K100" s="726"/>
      <c r="L100" s="726"/>
      <c r="M100" s="727"/>
      <c r="N100" s="2064"/>
      <c r="O100" s="2064"/>
      <c r="P100" s="2112"/>
      <c r="Q100" s="2056"/>
      <c r="R100" s="2043"/>
      <c r="S100" s="2043"/>
      <c r="T100" s="2043"/>
      <c r="U100" s="2043"/>
      <c r="V100" s="2043"/>
      <c r="W100" s="2043"/>
      <c r="X100" s="2043"/>
      <c r="Y100" s="2043"/>
      <c r="Z100" s="2043"/>
      <c r="AA100" s="2043"/>
      <c r="AB100" s="2043"/>
      <c r="AC100" s="2043"/>
    </row>
    <row r="101" spans="1:29">
      <c r="A101" s="664" t="s">
        <v>549</v>
      </c>
      <c r="B101" s="665" t="s">
        <v>745</v>
      </c>
      <c r="C101" s="598"/>
      <c r="D101" s="598"/>
      <c r="E101" s="598"/>
      <c r="F101" s="598"/>
      <c r="G101" s="598"/>
      <c r="H101" s="598"/>
      <c r="I101" s="598"/>
      <c r="J101" s="598"/>
      <c r="K101" s="666"/>
      <c r="L101" s="667"/>
      <c r="M101" s="668"/>
      <c r="N101" s="2062"/>
      <c r="O101" s="2062"/>
      <c r="P101" s="2112"/>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339" customFormat="1">
      <c r="A104" s="728"/>
      <c r="B104" s="729"/>
      <c r="C104" s="730"/>
      <c r="D104" s="730"/>
      <c r="E104" s="730"/>
      <c r="F104" s="730"/>
      <c r="G104" s="730"/>
      <c r="H104" s="730"/>
      <c r="I104" s="730"/>
      <c r="J104" s="731"/>
      <c r="K104" s="731"/>
      <c r="L104" s="732"/>
      <c r="M104" s="733"/>
      <c r="N104" s="2065"/>
      <c r="O104" s="2065"/>
      <c r="P104" s="2113"/>
      <c r="Q104" s="2067"/>
      <c r="R104" s="2068"/>
      <c r="S104" s="2068"/>
      <c r="T104" s="2068"/>
      <c r="U104" s="2068"/>
      <c r="V104" s="2068"/>
      <c r="W104" s="2068"/>
      <c r="X104" s="2068"/>
      <c r="Y104" s="2068"/>
      <c r="Z104" s="2068"/>
      <c r="AA104" s="2068"/>
      <c r="AB104" s="2068"/>
      <c r="AC104" s="2068"/>
    </row>
    <row r="105" spans="1:29" s="1339" customFormat="1" ht="15.75" thickBot="1">
      <c r="A105" s="687"/>
      <c r="B105" s="678"/>
      <c r="C105" s="692"/>
      <c r="D105" s="671"/>
      <c r="E105" s="671"/>
      <c r="F105" s="671"/>
      <c r="G105" s="671"/>
      <c r="H105" s="671"/>
      <c r="I105" s="671"/>
      <c r="J105" s="671"/>
      <c r="K105" s="671"/>
      <c r="L105" s="671"/>
      <c r="M105" s="672"/>
      <c r="N105" s="2064"/>
      <c r="O105" s="2064"/>
      <c r="P105" s="2113"/>
      <c r="Q105" s="2067"/>
      <c r="R105" s="2068"/>
      <c r="S105" s="2068"/>
      <c r="T105" s="2068"/>
      <c r="U105" s="2068"/>
      <c r="V105" s="2068"/>
      <c r="W105" s="2068"/>
      <c r="X105" s="2068"/>
      <c r="Y105" s="2068"/>
      <c r="Z105" s="2068"/>
      <c r="AA105" s="2068"/>
      <c r="AB105" s="2068"/>
      <c r="AC105" s="2068"/>
    </row>
    <row r="106" spans="1:29" ht="15" thickTop="1">
      <c r="A106" s="735"/>
      <c r="B106" s="673" t="s">
        <v>747</v>
      </c>
      <c r="C106" s="688"/>
      <c r="D106" s="688"/>
      <c r="E106" s="718"/>
      <c r="F106" s="718"/>
      <c r="G106" s="718"/>
      <c r="H106" s="718"/>
      <c r="I106" s="718"/>
      <c r="J106" s="718"/>
      <c r="K106" s="719"/>
      <c r="L106" s="720"/>
      <c r="M106" s="721"/>
      <c r="N106" s="2062"/>
      <c r="O106" s="2062"/>
      <c r="P106" s="2112"/>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735"/>
      <c r="B108" s="673" t="s">
        <v>749</v>
      </c>
      <c r="C108" s="688"/>
      <c r="D108" s="688"/>
      <c r="E108" s="688"/>
      <c r="F108" s="718"/>
      <c r="G108" s="718"/>
      <c r="H108" s="718"/>
      <c r="I108" s="718"/>
      <c r="J108" s="718"/>
      <c r="K108" s="719"/>
      <c r="L108" s="720"/>
      <c r="M108" s="721"/>
      <c r="N108" s="2062"/>
      <c r="O108" s="2062"/>
      <c r="P108" s="2112"/>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062"/>
      <c r="O110" s="2062"/>
      <c r="P110" s="2112"/>
      <c r="Q110" s="2056"/>
      <c r="R110" s="2043"/>
      <c r="S110" s="2043"/>
      <c r="T110" s="2043"/>
      <c r="U110" s="2043"/>
      <c r="V110" s="2043"/>
      <c r="W110" s="2043"/>
      <c r="X110" s="2043"/>
      <c r="Y110" s="2043"/>
      <c r="Z110" s="2043"/>
      <c r="AA110" s="2043"/>
      <c r="AB110" s="2043"/>
      <c r="AC110" s="2043"/>
    </row>
    <row r="111" spans="1:29">
      <c r="A111" s="735"/>
      <c r="B111" s="681"/>
      <c r="C111" s="894">
        <v>0.5</v>
      </c>
      <c r="D111" s="894">
        <v>0.6</v>
      </c>
      <c r="E111" s="894">
        <v>0.7</v>
      </c>
      <c r="F111" s="894">
        <v>0.8</v>
      </c>
      <c r="G111" s="894">
        <v>0.9</v>
      </c>
      <c r="H111" s="894">
        <v>1.0001</v>
      </c>
      <c r="I111" s="905"/>
      <c r="J111" s="905"/>
      <c r="K111" s="906"/>
      <c r="L111" s="907"/>
      <c r="M111" s="908"/>
      <c r="N111" s="2062"/>
      <c r="O111" s="2062"/>
      <c r="P111" s="2112"/>
      <c r="Q111" s="2056"/>
      <c r="R111" s="2043"/>
      <c r="S111" s="2043"/>
      <c r="T111" s="2043"/>
      <c r="U111" s="2043"/>
      <c r="V111" s="2043"/>
      <c r="W111" s="2043"/>
      <c r="X111" s="2043"/>
      <c r="Y111" s="2043"/>
      <c r="Z111" s="2043"/>
      <c r="AA111" s="2043"/>
      <c r="AB111" s="2043"/>
      <c r="AC111" s="20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064"/>
      <c r="O112" s="2064"/>
      <c r="P112" s="2112"/>
      <c r="Q112" s="2056"/>
      <c r="R112" s="2043"/>
      <c r="S112" s="2043"/>
      <c r="T112" s="2043"/>
      <c r="U112" s="2043"/>
      <c r="V112" s="2043"/>
      <c r="W112" s="2043"/>
      <c r="X112" s="2043"/>
      <c r="Y112" s="2043"/>
      <c r="Z112" s="2043"/>
      <c r="AA112" s="2043"/>
      <c r="AB112" s="2043"/>
      <c r="AC112" s="2043"/>
    </row>
    <row r="113" spans="1:29" s="1339" customFormat="1" ht="15" thickTop="1">
      <c r="A113" s="728"/>
      <c r="B113" s="673" t="s">
        <v>784</v>
      </c>
      <c r="C113" s="688"/>
      <c r="D113" s="688"/>
      <c r="E113" s="688"/>
      <c r="F113" s="688"/>
      <c r="G113" s="688"/>
      <c r="H113" s="718"/>
      <c r="I113" s="718"/>
      <c r="J113" s="718"/>
      <c r="K113" s="719"/>
      <c r="L113" s="720"/>
      <c r="M113" s="721"/>
      <c r="N113" s="2065"/>
      <c r="O113" s="2065"/>
      <c r="P113" s="2113"/>
      <c r="Q113" s="2067"/>
      <c r="R113" s="2068"/>
      <c r="S113" s="2068"/>
      <c r="T113" s="2068"/>
      <c r="U113" s="2068"/>
      <c r="V113" s="2068"/>
      <c r="W113" s="2068"/>
      <c r="X113" s="2068"/>
      <c r="Y113" s="2068"/>
      <c r="Z113" s="2068"/>
      <c r="AA113" s="2068"/>
      <c r="AB113" s="2068"/>
      <c r="AC113" s="206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735"/>
      <c r="B115" s="673" t="s">
        <v>751</v>
      </c>
      <c r="C115" s="688"/>
      <c r="D115" s="688"/>
      <c r="E115" s="718"/>
      <c r="F115" s="718"/>
      <c r="G115" s="718"/>
      <c r="H115" s="718"/>
      <c r="I115" s="718"/>
      <c r="J115" s="718"/>
      <c r="K115" s="719"/>
      <c r="L115" s="720"/>
      <c r="M115" s="721"/>
      <c r="N115" s="2062"/>
      <c r="O115" s="2062"/>
      <c r="P115" s="2112"/>
      <c r="Q115" s="2056"/>
      <c r="R115" s="2043"/>
      <c r="S115" s="2043"/>
      <c r="T115" s="2043"/>
      <c r="U115" s="2043"/>
      <c r="V115" s="2043"/>
      <c r="W115" s="2043"/>
      <c r="X115" s="2043"/>
      <c r="Y115" s="2043"/>
      <c r="Z115" s="2043"/>
      <c r="AA115" s="2043"/>
      <c r="AB115" s="2043"/>
      <c r="AC115" s="20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735"/>
      <c r="B117" s="1794" t="s">
        <v>2553</v>
      </c>
      <c r="C117" s="688"/>
      <c r="D117" s="688"/>
      <c r="E117" s="688"/>
      <c r="F117" s="688"/>
      <c r="G117" s="688"/>
      <c r="H117" s="718"/>
      <c r="I117" s="718"/>
      <c r="J117" s="718"/>
      <c r="K117" s="719"/>
      <c r="L117" s="720"/>
      <c r="M117" s="721"/>
      <c r="N117" s="2062"/>
      <c r="O117" s="2062"/>
      <c r="P117" s="2112"/>
      <c r="Q117" s="2056"/>
      <c r="R117" s="2043"/>
      <c r="S117" s="2043"/>
      <c r="T117" s="2043"/>
      <c r="U117" s="2043"/>
      <c r="V117" s="2043"/>
      <c r="W117" s="2043"/>
      <c r="X117" s="2043"/>
      <c r="Y117" s="2043"/>
      <c r="Z117" s="2043"/>
      <c r="AA117" s="2043"/>
      <c r="AB117" s="2043"/>
      <c r="AC117" s="20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064"/>
      <c r="O118" s="2064"/>
      <c r="P118" s="2112"/>
      <c r="Q118" s="2056"/>
      <c r="R118" s="2043"/>
      <c r="S118" s="2043"/>
      <c r="T118" s="2043"/>
      <c r="U118" s="2043"/>
      <c r="V118" s="2043"/>
      <c r="W118" s="2043"/>
      <c r="X118" s="2043"/>
      <c r="Y118" s="2043"/>
      <c r="Z118" s="2043"/>
      <c r="AA118" s="2043"/>
      <c r="AB118" s="2043"/>
      <c r="AC118" s="2043"/>
    </row>
    <row r="119" spans="1:29" ht="15" thickTop="1">
      <c r="A119" s="735"/>
      <c r="B119" s="917" t="s">
        <v>785</v>
      </c>
      <c r="C119" s="718"/>
      <c r="D119" s="718"/>
      <c r="E119" s="718"/>
      <c r="F119" s="718"/>
      <c r="G119" s="718"/>
      <c r="H119" s="718"/>
      <c r="I119" s="718"/>
      <c r="J119" s="718"/>
      <c r="K119" s="718"/>
      <c r="L119" s="918"/>
      <c r="M119" s="919"/>
      <c r="N119" s="2064"/>
      <c r="O119" s="2064"/>
      <c r="P119" s="2117"/>
      <c r="Q119" s="2104"/>
      <c r="R119" s="2043"/>
      <c r="S119" s="2043"/>
      <c r="T119" s="2043"/>
      <c r="U119" s="2043"/>
      <c r="V119" s="2043"/>
      <c r="W119" s="2043"/>
      <c r="X119" s="2043"/>
      <c r="Y119" s="2043"/>
      <c r="Z119" s="2043"/>
      <c r="AA119" s="2043"/>
      <c r="AB119" s="2043"/>
      <c r="AC119" s="20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064"/>
      <c r="O120" s="2064"/>
      <c r="P120" s="2112"/>
      <c r="Q120" s="2056"/>
      <c r="R120" s="2043"/>
      <c r="S120" s="2043"/>
      <c r="T120" s="2043"/>
      <c r="U120" s="2043"/>
      <c r="V120" s="2043"/>
      <c r="W120" s="2043"/>
      <c r="X120" s="2043"/>
      <c r="Y120" s="2043"/>
      <c r="Z120" s="2043"/>
      <c r="AA120" s="2043"/>
      <c r="AB120" s="2043"/>
      <c r="AC120" s="2043"/>
    </row>
    <row r="121" spans="1:29" s="1339" customFormat="1" ht="15" thickTop="1">
      <c r="A121" s="728"/>
      <c r="B121" s="673" t="s">
        <v>773</v>
      </c>
      <c r="C121" s="688"/>
      <c r="D121" s="688"/>
      <c r="E121" s="688"/>
      <c r="F121" s="718"/>
      <c r="G121" s="689"/>
      <c r="H121" s="689"/>
      <c r="I121" s="689"/>
      <c r="J121" s="689"/>
      <c r="K121" s="689"/>
      <c r="L121" s="690"/>
      <c r="M121" s="691"/>
      <c r="N121" s="2065"/>
      <c r="O121" s="2065"/>
      <c r="P121" s="2113"/>
      <c r="Q121" s="2067"/>
      <c r="R121" s="2068"/>
      <c r="S121" s="2068"/>
      <c r="T121" s="2068"/>
      <c r="U121" s="2068"/>
      <c r="V121" s="2068"/>
      <c r="W121" s="2068"/>
      <c r="X121" s="2068"/>
      <c r="Y121" s="2068"/>
      <c r="Z121" s="2068"/>
      <c r="AA121" s="2068"/>
      <c r="AB121" s="2068"/>
      <c r="AC121" s="2068"/>
    </row>
    <row r="122" spans="1:29" s="1339" customFormat="1" ht="15.75" thickBot="1">
      <c r="A122" s="687"/>
      <c r="B122" s="670"/>
      <c r="C122" s="692"/>
      <c r="D122" s="692"/>
      <c r="E122" s="692"/>
      <c r="F122" s="692"/>
      <c r="G122" s="692"/>
      <c r="H122" s="692"/>
      <c r="I122" s="692"/>
      <c r="J122" s="692"/>
      <c r="K122" s="692"/>
      <c r="L122" s="692"/>
      <c r="M122" s="692"/>
      <c r="N122" s="2065"/>
      <c r="O122" s="2065"/>
      <c r="P122" s="2113"/>
      <c r="Q122" s="2067"/>
      <c r="R122" s="2068"/>
      <c r="S122" s="2068"/>
      <c r="T122" s="2068"/>
      <c r="U122" s="2068"/>
      <c r="V122" s="2068"/>
      <c r="W122" s="2068"/>
      <c r="X122" s="2068"/>
      <c r="Y122" s="2068"/>
      <c r="Z122" s="2068"/>
      <c r="AA122" s="2068"/>
      <c r="AB122" s="2068"/>
      <c r="AC122" s="2068"/>
    </row>
    <row r="123" spans="1:29" ht="15" thickTop="1">
      <c r="A123" s="735"/>
      <c r="B123" s="673" t="s">
        <v>753</v>
      </c>
      <c r="C123" s="688"/>
      <c r="D123" s="688"/>
      <c r="E123" s="688"/>
      <c r="F123" s="718"/>
      <c r="G123" s="718"/>
      <c r="H123" s="718"/>
      <c r="I123" s="718"/>
      <c r="J123" s="718"/>
      <c r="K123" s="719"/>
      <c r="L123" s="720"/>
      <c r="M123" s="721"/>
      <c r="N123" s="2062"/>
      <c r="O123" s="2062"/>
      <c r="P123" s="2112"/>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062"/>
      <c r="O125" s="2062"/>
      <c r="P125" s="2113"/>
      <c r="Q125" s="2056"/>
      <c r="R125" s="2043"/>
      <c r="S125" s="2043"/>
      <c r="T125" s="2043"/>
      <c r="U125" s="2043"/>
      <c r="V125" s="2043"/>
      <c r="W125" s="2043"/>
      <c r="X125" s="2043"/>
      <c r="Y125" s="2043"/>
      <c r="Z125" s="2043"/>
      <c r="AA125" s="2043"/>
      <c r="AB125" s="2043"/>
      <c r="AC125" s="20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064"/>
      <c r="O126" s="2064"/>
      <c r="P126" s="2112"/>
      <c r="Q126" s="2056"/>
      <c r="R126" s="2043"/>
      <c r="S126" s="2043"/>
      <c r="T126" s="2043"/>
      <c r="U126" s="2043"/>
      <c r="V126" s="2043"/>
      <c r="W126" s="2043"/>
      <c r="X126" s="2043"/>
      <c r="Y126" s="2043"/>
      <c r="Z126" s="2043"/>
      <c r="AA126" s="2043"/>
      <c r="AB126" s="2043"/>
      <c r="AC126" s="2043"/>
    </row>
    <row r="127" spans="1:29" s="1339" customFormat="1" ht="15" thickTop="1">
      <c r="A127" s="728"/>
      <c r="B127" s="673">
        <f>B45</f>
        <v>111</v>
      </c>
      <c r="C127" s="688"/>
      <c r="D127" s="688"/>
      <c r="E127" s="688"/>
      <c r="F127" s="688"/>
      <c r="G127" s="688"/>
      <c r="H127" s="689"/>
      <c r="I127" s="689"/>
      <c r="J127" s="689"/>
      <c r="K127" s="689"/>
      <c r="L127" s="690"/>
      <c r="M127" s="691"/>
      <c r="N127" s="2065"/>
      <c r="O127" s="2065"/>
      <c r="P127" s="2113"/>
      <c r="Q127" s="2067"/>
      <c r="R127" s="2068"/>
      <c r="S127" s="2068"/>
      <c r="T127" s="2068"/>
      <c r="U127" s="2068"/>
      <c r="V127" s="2068"/>
      <c r="W127" s="2068"/>
      <c r="X127" s="2068"/>
      <c r="Y127" s="2068"/>
      <c r="Z127" s="2068"/>
      <c r="AA127" s="2068"/>
      <c r="AB127" s="2068"/>
      <c r="AC127" s="2068"/>
    </row>
    <row r="128" spans="1:29" s="1339" customFormat="1" ht="15.75" thickBot="1">
      <c r="A128" s="687"/>
      <c r="B128" s="678"/>
      <c r="C128" s="692"/>
      <c r="D128" s="671"/>
      <c r="E128" s="671"/>
      <c r="F128" s="671"/>
      <c r="G128" s="692"/>
      <c r="H128" s="693"/>
      <c r="I128" s="693"/>
      <c r="J128" s="693"/>
      <c r="K128" s="693"/>
      <c r="L128" s="693"/>
      <c r="M128" s="694"/>
      <c r="N128" s="2065"/>
      <c r="O128" s="2065"/>
      <c r="P128" s="2113"/>
      <c r="Q128" s="2067"/>
      <c r="R128" s="2068"/>
      <c r="S128" s="2068"/>
      <c r="T128" s="2068"/>
      <c r="U128" s="2068"/>
      <c r="V128" s="2068"/>
      <c r="W128" s="2068"/>
      <c r="X128" s="2068"/>
      <c r="Y128" s="2068"/>
      <c r="Z128" s="2068"/>
      <c r="AA128" s="2068"/>
      <c r="AB128" s="2068"/>
      <c r="AC128" s="2068"/>
    </row>
    <row r="129" spans="1:29" ht="15" thickTop="1">
      <c r="A129" s="735"/>
      <c r="B129" s="673">
        <f>B46</f>
        <v>111</v>
      </c>
      <c r="C129" s="688"/>
      <c r="D129" s="688"/>
      <c r="E129" s="688"/>
      <c r="F129" s="688"/>
      <c r="G129" s="718"/>
      <c r="H129" s="718"/>
      <c r="I129" s="718"/>
      <c r="J129" s="718"/>
      <c r="K129" s="719"/>
      <c r="L129" s="720"/>
      <c r="M129" s="721"/>
      <c r="N129" s="2062"/>
      <c r="O129" s="2062"/>
      <c r="P129" s="2112"/>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112"/>
      <c r="Q130" s="2056"/>
      <c r="R130" s="2043"/>
      <c r="S130" s="2043"/>
      <c r="T130" s="2043"/>
      <c r="U130" s="2043"/>
      <c r="V130" s="2043"/>
      <c r="W130" s="2043"/>
      <c r="X130" s="2043"/>
      <c r="Y130" s="2043"/>
      <c r="Z130" s="2043"/>
      <c r="AA130" s="2043"/>
      <c r="AB130" s="2043"/>
      <c r="AC130" s="2043"/>
    </row>
    <row r="131" spans="1:29" ht="15" thickTop="1">
      <c r="A131" s="735"/>
      <c r="B131" s="681">
        <f>B47</f>
        <v>111</v>
      </c>
      <c r="C131" s="661"/>
      <c r="D131" s="661"/>
      <c r="E131" s="661"/>
      <c r="F131" s="661"/>
      <c r="G131" s="722"/>
      <c r="H131" s="722"/>
      <c r="I131" s="722"/>
      <c r="J131" s="722"/>
      <c r="K131" s="661"/>
      <c r="L131" s="662"/>
      <c r="M131" s="725"/>
      <c r="N131" s="2062"/>
      <c r="O131" s="2062"/>
      <c r="P131" s="2112"/>
      <c r="Q131" s="2056"/>
      <c r="R131" s="2043"/>
      <c r="S131" s="2043"/>
      <c r="T131" s="2043"/>
      <c r="U131" s="2043"/>
      <c r="V131" s="2043"/>
      <c r="W131" s="2043"/>
      <c r="X131" s="2043"/>
      <c r="Y131" s="2043"/>
      <c r="Z131" s="2043"/>
      <c r="AA131" s="2043"/>
      <c r="AB131" s="2043"/>
      <c r="AC131" s="2043"/>
    </row>
    <row r="132" spans="1:29" ht="15.75" thickBot="1">
      <c r="A132" s="893"/>
      <c r="B132" s="699"/>
      <c r="C132" s="700"/>
      <c r="D132" s="700"/>
      <c r="E132" s="700"/>
      <c r="F132" s="700"/>
      <c r="G132" s="726"/>
      <c r="H132" s="726"/>
      <c r="I132" s="726"/>
      <c r="J132" s="726"/>
      <c r="K132" s="726"/>
      <c r="L132" s="726"/>
      <c r="M132" s="727"/>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025"/>
      <c r="D2" s="2025"/>
      <c r="E2" s="2026"/>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519</v>
      </c>
      <c r="B4" s="513"/>
      <c r="C4" s="3556" t="s">
        <v>520</v>
      </c>
      <c r="D4" s="3557"/>
      <c r="E4" s="3579" t="s">
        <v>521</v>
      </c>
      <c r="F4" s="3580"/>
      <c r="G4" s="3556" t="s">
        <v>522</v>
      </c>
      <c r="H4" s="3557"/>
      <c r="I4" s="3556" t="s">
        <v>523</v>
      </c>
      <c r="J4" s="3557"/>
      <c r="K4" s="514" t="s">
        <v>524</v>
      </c>
      <c r="L4" s="2031"/>
      <c r="M4" s="2032"/>
      <c r="N4" s="2032"/>
      <c r="O4" s="2032"/>
      <c r="P4" s="3558" t="s">
        <v>525</v>
      </c>
      <c r="Q4" s="3559"/>
      <c r="R4" s="3544" t="s">
        <v>521</v>
      </c>
      <c r="S4" s="3545"/>
      <c r="T4" s="3544" t="s">
        <v>522</v>
      </c>
      <c r="U4" s="3545"/>
      <c r="V4" s="3564" t="s">
        <v>523</v>
      </c>
      <c r="W4" s="3564"/>
      <c r="X4" s="1568"/>
      <c r="Y4" s="3544" t="s">
        <v>525</v>
      </c>
      <c r="Z4" s="3545"/>
      <c r="AA4" s="3539" t="s">
        <v>521</v>
      </c>
      <c r="AB4" s="3540" t="s">
        <v>522</v>
      </c>
      <c r="AC4" s="3539" t="s">
        <v>523</v>
      </c>
    </row>
    <row r="5" spans="1:29" ht="15">
      <c r="A5" s="515"/>
      <c r="B5" s="516"/>
      <c r="C5" s="3583" t="s">
        <v>2916</v>
      </c>
      <c r="D5" s="3568"/>
      <c r="E5" s="3581" t="s">
        <v>2917</v>
      </c>
      <c r="F5" s="3582"/>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40"/>
      <c r="AC5" s="3540"/>
    </row>
    <row r="6" spans="1:29" ht="15.75" thickBot="1">
      <c r="A6" s="517"/>
      <c r="B6" s="518"/>
      <c r="C6" s="3584" t="s">
        <v>2920</v>
      </c>
      <c r="D6" s="3585"/>
      <c r="E6" s="3586" t="s">
        <v>2920</v>
      </c>
      <c r="F6" s="3587"/>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41"/>
      <c r="AC6" s="3541"/>
    </row>
    <row r="7" spans="1:29" s="1220" customFormat="1" ht="15.75" thickBot="1">
      <c r="A7" s="2827"/>
      <c r="B7" s="2834" t="s">
        <v>527</v>
      </c>
      <c r="C7" s="519">
        <f>'数据-取费表'!B2</f>
        <v>43095</v>
      </c>
      <c r="D7" s="520">
        <v>100</v>
      </c>
      <c r="E7" s="521"/>
      <c r="F7" s="522">
        <f>SUMIF(52:52,YEAR(E7)&amp;"-"&amp;MONTH(E7),53:53)</f>
        <v>0</v>
      </c>
      <c r="G7" s="521"/>
      <c r="H7" s="520">
        <f>SUMIF(52:52,YEAR(G7)&amp;"-"&amp;MONTH(G7),53:53)</f>
        <v>0</v>
      </c>
      <c r="I7" s="521"/>
      <c r="J7" s="520">
        <f>SUMIF(52:52,YEAR(I7)&amp;"-"&amp;MONTH(I7),53:53)</f>
        <v>0</v>
      </c>
      <c r="K7" s="524"/>
      <c r="L7" s="2033"/>
      <c r="M7" s="2034"/>
      <c r="N7" s="2034"/>
      <c r="O7" s="2034"/>
      <c r="P7" s="3542" t="s">
        <v>528</v>
      </c>
      <c r="Q7" s="3551"/>
      <c r="R7" s="1569" t="s">
        <v>8</v>
      </c>
      <c r="S7" s="1570">
        <f t="shared" ref="S7:S15" si="0">F7</f>
        <v>0</v>
      </c>
      <c r="T7" s="1569" t="s">
        <v>8</v>
      </c>
      <c r="U7" s="1570">
        <f t="shared" ref="U7:U15" si="1">H7</f>
        <v>0</v>
      </c>
      <c r="V7" s="1569" t="s">
        <v>8</v>
      </c>
      <c r="W7" s="1570">
        <f t="shared" ref="W7:W15" si="2">J7</f>
        <v>0</v>
      </c>
      <c r="X7" s="1571"/>
      <c r="Y7" s="3542" t="s">
        <v>528</v>
      </c>
      <c r="Z7" s="3543"/>
      <c r="AA7" s="1572" t="e">
        <f>D7/F7</f>
        <v>#DIV/0!</v>
      </c>
      <c r="AB7" s="1572" t="e">
        <f>D7/H7</f>
        <v>#DIV/0!</v>
      </c>
      <c r="AC7" s="1572" t="e">
        <f>D7/J7</f>
        <v>#DIV/0!</v>
      </c>
    </row>
    <row r="8" spans="1:29" s="1220" customFormat="1" ht="15.75" thickBot="1">
      <c r="A8" s="2828"/>
      <c r="B8" s="2835" t="s">
        <v>529</v>
      </c>
      <c r="C8" s="525" t="s">
        <v>574</v>
      </c>
      <c r="D8" s="520">
        <v>100</v>
      </c>
      <c r="E8" s="525"/>
      <c r="F8" s="522">
        <f>SUMIF(55:55,E8,56:56)-SUMIF(55:55,C8,56:56)+100</f>
        <v>0</v>
      </c>
      <c r="G8" s="525"/>
      <c r="H8" s="520">
        <f>SUMIF(55:55,G8,56:56)-SUMIF(55:55,C8,56:56)+100</f>
        <v>0</v>
      </c>
      <c r="I8" s="525"/>
      <c r="J8" s="520">
        <f>SUMIF(55:55,I8,56:56)-SUMIF(55:55,C8,56:56)+100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40" si="3">D8/F8</f>
        <v>#DIV/0!</v>
      </c>
      <c r="AB8" s="1572" t="e">
        <f t="shared" ref="AB8:AB40" si="4">D8/H8</f>
        <v>#DIV/0!</v>
      </c>
      <c r="AC8" s="1572" t="e">
        <f t="shared" ref="AC8:AC40" si="5">D8/J8</f>
        <v>#DIV/0!</v>
      </c>
    </row>
    <row r="9" spans="1:29" s="1220" customFormat="1" ht="15">
      <c r="A9" s="2829"/>
      <c r="B9" s="2836" t="s">
        <v>2755</v>
      </c>
      <c r="C9" s="857"/>
      <c r="D9" s="254">
        <v>100</v>
      </c>
      <c r="E9" s="860"/>
      <c r="F9" s="254">
        <f>SUMIF(57:57,E9,58:58)-SUMIF(57:57,C9,58:58)+100</f>
        <v>100</v>
      </c>
      <c r="G9" s="858"/>
      <c r="H9" s="254">
        <f>SUMIF(57:57,G9,58:58)-SUMIF(57:57,C9,58:58)+100</f>
        <v>100</v>
      </c>
      <c r="I9" s="858"/>
      <c r="J9" s="254">
        <f>SUMIF(57:57,I9,58:58)-SUMIF(57:57,C9,58:58)+100</f>
        <v>100</v>
      </c>
      <c r="K9" s="524"/>
      <c r="L9" s="2033"/>
      <c r="M9" s="2034"/>
      <c r="N9" s="2034"/>
      <c r="O9" s="2035"/>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SUMIF(59:59,E10,60:60)-SUMIF(59:59,C10,60:60)+100</f>
        <v>100</v>
      </c>
      <c r="G10" s="862"/>
      <c r="H10" s="255">
        <f>SUMIF(59:59,G10,60:60)-SUMIF(59:59,C10,60:60)+100</f>
        <v>100</v>
      </c>
      <c r="I10" s="861"/>
      <c r="J10" s="255">
        <f>SUMIF(59:59,I10,60:60)-SUMIF(59:59,C10,60:60)+100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038"/>
      <c r="M11" s="2032"/>
      <c r="N11" s="2032"/>
      <c r="O11" s="2039"/>
      <c r="P11" s="3550"/>
      <c r="Q11" s="1151" t="str">
        <f t="shared" si="6"/>
        <v>容积率</v>
      </c>
      <c r="R11" s="1569" t="s">
        <v>8</v>
      </c>
      <c r="S11" s="1570" t="e">
        <f t="shared" si="0"/>
        <v>#N/A</v>
      </c>
      <c r="T11" s="1569" t="s">
        <v>8</v>
      </c>
      <c r="U11" s="1570" t="e">
        <f t="shared" si="1"/>
        <v>#N/A</v>
      </c>
      <c r="V11" s="1569" t="s">
        <v>8</v>
      </c>
      <c r="W11" s="1570" t="e">
        <f t="shared" si="2"/>
        <v>#N/A</v>
      </c>
      <c r="X11" s="1571"/>
      <c r="Y11" s="3507"/>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SUMIF(64:64,E12,65:65)-SUMIF(64:64,C12,65:65)+100</f>
        <v>100</v>
      </c>
      <c r="G12" s="920"/>
      <c r="H12" s="255">
        <f>SUMIF(64:64,G12,65:65)-SUMIF(64:64,C12,65:65)+100</f>
        <v>100</v>
      </c>
      <c r="I12" s="880"/>
      <c r="J12" s="255">
        <f>SUMIF(64:64,I12,65:65)-SUMIF(64:64,C12,65:65)+100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
      <c r="A13" s="2832"/>
      <c r="B13" s="2838">
        <v>111</v>
      </c>
      <c r="C13" s="539"/>
      <c r="D13" s="540">
        <v>100</v>
      </c>
      <c r="E13" s="539"/>
      <c r="F13" s="255">
        <f>SUMIF(66:66,E13,67:67)-SUMIF(66:66,C13,67:67)+100</f>
        <v>100</v>
      </c>
      <c r="G13" s="920"/>
      <c r="H13" s="540">
        <f>SUMIF(66:66,G13,67:67)-SUMIF(66:66,C13,67:67)+100</f>
        <v>100</v>
      </c>
      <c r="I13" s="880"/>
      <c r="J13" s="540">
        <f>SUMIF(66:66,I13,67:67)-SUMIF(66:66,C13,67:67)+100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75" thickBot="1">
      <c r="A14" s="2833"/>
      <c r="B14" s="2839">
        <v>111</v>
      </c>
      <c r="C14" s="545"/>
      <c r="D14" s="546">
        <v>100</v>
      </c>
      <c r="E14" s="545"/>
      <c r="F14" s="546">
        <f>SUMIF(68:68,E14,69:69)-SUMIF(68:68,C14,69:69)+100</f>
        <v>100</v>
      </c>
      <c r="G14" s="920"/>
      <c r="H14" s="546">
        <f>SUMIF(68:68,G14,69:69)-SUMIF(68:68,C14,69:69)+100</f>
        <v>100</v>
      </c>
      <c r="I14" s="880"/>
      <c r="J14" s="546">
        <f>SUMIF(68:68,I14,69:69)-SUMIF(68:68,C14,69:69)+100</f>
        <v>100</v>
      </c>
      <c r="K14" s="581"/>
      <c r="L14" s="2040"/>
      <c r="M14" s="2032"/>
      <c r="N14" s="2032"/>
      <c r="O14" s="2039"/>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 t="shared" si="3"/>
        <v>1</v>
      </c>
      <c r="AB14" s="1572">
        <f t="shared" si="4"/>
        <v>1</v>
      </c>
      <c r="AC14" s="1572">
        <f t="shared" si="5"/>
        <v>1</v>
      </c>
    </row>
    <row r="15" spans="1:29" ht="15">
      <c r="A15" s="2825" t="s">
        <v>2753</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040"/>
      <c r="M15" s="2032"/>
      <c r="N15" s="2032"/>
      <c r="O15" s="2039"/>
      <c r="P15" s="3552" t="s">
        <v>538</v>
      </c>
      <c r="Q15" s="1573" t="str">
        <f t="shared" si="6"/>
        <v>产业集聚程度</v>
      </c>
      <c r="R15" s="1574" t="s">
        <v>8</v>
      </c>
      <c r="S15" s="1575">
        <f t="shared" si="0"/>
        <v>100</v>
      </c>
      <c r="T15" s="1574" t="s">
        <v>8</v>
      </c>
      <c r="U15" s="1575">
        <f t="shared" si="1"/>
        <v>100</v>
      </c>
      <c r="V15" s="1574" t="s">
        <v>8</v>
      </c>
      <c r="W15" s="1575">
        <f t="shared" si="2"/>
        <v>100</v>
      </c>
      <c r="X15" s="1568"/>
      <c r="Y15" s="3552"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53"/>
      <c r="Q16" s="1573"/>
      <c r="R16" s="1574"/>
      <c r="S16" s="1575"/>
      <c r="T16" s="1574"/>
      <c r="U16" s="1575"/>
      <c r="V16" s="1574"/>
      <c r="W16" s="1575"/>
      <c r="X16" s="1568"/>
      <c r="Y16" s="3553"/>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040"/>
      <c r="M17" s="2032"/>
      <c r="N17" s="2032"/>
      <c r="O17" s="2039"/>
      <c r="P17" s="3553"/>
      <c r="Q17" s="1573" t="str">
        <f>B17</f>
        <v>交通便捷度</v>
      </c>
      <c r="R17" s="1574" t="s">
        <v>8</v>
      </c>
      <c r="S17" s="1575">
        <f>F17</f>
        <v>100</v>
      </c>
      <c r="T17" s="1574" t="s">
        <v>8</v>
      </c>
      <c r="U17" s="1575">
        <f>H17</f>
        <v>100</v>
      </c>
      <c r="V17" s="1574" t="s">
        <v>8</v>
      </c>
      <c r="W17" s="1575">
        <f>J17</f>
        <v>100</v>
      </c>
      <c r="X17" s="1568"/>
      <c r="Y17" s="355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252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040"/>
      <c r="M19" s="2032"/>
      <c r="N19" s="2032"/>
      <c r="O19" s="2039"/>
      <c r="P19" s="3553"/>
      <c r="Q19" s="1573" t="str">
        <f>B19</f>
        <v>公共配套设施</v>
      </c>
      <c r="R19" s="1574" t="s">
        <v>8</v>
      </c>
      <c r="S19" s="1575">
        <f>F19</f>
        <v>100</v>
      </c>
      <c r="T19" s="1574" t="s">
        <v>8</v>
      </c>
      <c r="U19" s="1575">
        <f>H19</f>
        <v>100</v>
      </c>
      <c r="V19" s="1574" t="s">
        <v>8</v>
      </c>
      <c r="W19" s="1575">
        <f>J19</f>
        <v>100</v>
      </c>
      <c r="X19" s="1568"/>
      <c r="Y19" s="355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040"/>
      <c r="M20" s="2032"/>
      <c r="N20" s="2032"/>
      <c r="O20" s="2039"/>
      <c r="P20" s="3553"/>
      <c r="Q20" s="1573"/>
      <c r="R20" s="1574"/>
      <c r="S20" s="1575"/>
      <c r="T20" s="1574"/>
      <c r="U20" s="1575"/>
      <c r="V20" s="1574"/>
      <c r="W20" s="1575"/>
      <c r="X20" s="1568"/>
      <c r="Y20" s="3553"/>
      <c r="Z20" s="1576"/>
      <c r="AA20" s="1577">
        <v>1</v>
      </c>
      <c r="AB20" s="1577">
        <v>1</v>
      </c>
      <c r="AC20" s="1577">
        <v>1</v>
      </c>
    </row>
    <row r="21" spans="1:29" ht="15">
      <c r="A21" s="532"/>
      <c r="B21" s="251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040"/>
      <c r="M21" s="2032"/>
      <c r="N21" s="2032"/>
      <c r="O21" s="2039"/>
      <c r="P21" s="3553"/>
      <c r="Q21" s="2498" t="str">
        <f>B21</f>
        <v>基础设施水平</v>
      </c>
      <c r="R21" s="1574" t="s">
        <v>8</v>
      </c>
      <c r="S21" s="1575">
        <f>F21</f>
        <v>100</v>
      </c>
      <c r="T21" s="1574" t="s">
        <v>8</v>
      </c>
      <c r="U21" s="1575">
        <f>H21</f>
        <v>100</v>
      </c>
      <c r="V21" s="1574" t="s">
        <v>8</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21"/>
      <c r="L22" s="2040"/>
      <c r="M22" s="2032"/>
      <c r="N22" s="2032"/>
      <c r="O22" s="2039"/>
      <c r="P22" s="3553"/>
      <c r="Q22" s="2498"/>
      <c r="R22" s="1574"/>
      <c r="S22" s="1575"/>
      <c r="T22" s="1574"/>
      <c r="U22" s="1575"/>
      <c r="V22" s="1574"/>
      <c r="W22" s="1575"/>
      <c r="X22" s="2500"/>
      <c r="Y22" s="3553"/>
      <c r="Z22" s="249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040"/>
      <c r="M23" s="2032"/>
      <c r="N23" s="2032"/>
      <c r="O23" s="2039"/>
      <c r="P23" s="3553"/>
      <c r="Q23" s="1573" t="str">
        <f>B23</f>
        <v>环境质量</v>
      </c>
      <c r="R23" s="1574" t="s">
        <v>8</v>
      </c>
      <c r="S23" s="1575">
        <f>F23</f>
        <v>100</v>
      </c>
      <c r="T23" s="1574" t="s">
        <v>8</v>
      </c>
      <c r="U23" s="1575">
        <f>H23</f>
        <v>100</v>
      </c>
      <c r="V23" s="1574" t="s">
        <v>8</v>
      </c>
      <c r="W23" s="1575">
        <f>J23</f>
        <v>100</v>
      </c>
      <c r="X23" s="1568"/>
      <c r="Y23" s="355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040"/>
      <c r="M24" s="2032"/>
      <c r="N24" s="2032"/>
      <c r="O24" s="2039"/>
      <c r="P24" s="3553"/>
      <c r="Q24" s="1573"/>
      <c r="R24" s="1574"/>
      <c r="S24" s="1575"/>
      <c r="T24" s="1574"/>
      <c r="U24" s="1575"/>
      <c r="V24" s="1574"/>
      <c r="W24" s="1575"/>
      <c r="X24" s="1568"/>
      <c r="Y24" s="355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040"/>
      <c r="M25" s="2032"/>
      <c r="N25" s="2032"/>
      <c r="O25" s="2039"/>
      <c r="P25" s="3553"/>
      <c r="Q25" s="1573">
        <f>B25</f>
        <v>111</v>
      </c>
      <c r="R25" s="1574" t="s">
        <v>8</v>
      </c>
      <c r="S25" s="1575">
        <f>F25</f>
        <v>100</v>
      </c>
      <c r="T25" s="1574" t="s">
        <v>8</v>
      </c>
      <c r="U25" s="1575">
        <f>H25</f>
        <v>100</v>
      </c>
      <c r="V25" s="1574" t="s">
        <v>8</v>
      </c>
      <c r="W25" s="1575">
        <f>J25</f>
        <v>100</v>
      </c>
      <c r="X25" s="1568"/>
      <c r="Y25" s="355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040"/>
      <c r="M26" s="2032"/>
      <c r="N26" s="2032"/>
      <c r="O26" s="2039"/>
      <c r="P26" s="3553"/>
      <c r="Q26" s="1573">
        <f t="shared" ref="Q26:Q40" si="11">B26</f>
        <v>111</v>
      </c>
      <c r="R26" s="1574" t="s">
        <v>8</v>
      </c>
      <c r="S26" s="1575">
        <f>F26</f>
        <v>100</v>
      </c>
      <c r="T26" s="1574" t="s">
        <v>8</v>
      </c>
      <c r="U26" s="1575">
        <f>H26</f>
        <v>100</v>
      </c>
      <c r="V26" s="1574" t="s">
        <v>8</v>
      </c>
      <c r="W26" s="1575">
        <f>J26</f>
        <v>100</v>
      </c>
      <c r="X26" s="1568"/>
      <c r="Y26" s="355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033"/>
      <c r="M27" s="2034"/>
      <c r="N27" s="2034"/>
      <c r="O27" s="2035"/>
      <c r="P27" s="3553"/>
      <c r="Q27" s="1151">
        <f t="shared" si="11"/>
        <v>111</v>
      </c>
      <c r="R27" s="1569" t="s">
        <v>8</v>
      </c>
      <c r="S27" s="1570">
        <f>F27</f>
        <v>100</v>
      </c>
      <c r="T27" s="1569" t="s">
        <v>8</v>
      </c>
      <c r="U27" s="1570">
        <f>H27</f>
        <v>100</v>
      </c>
      <c r="V27" s="1569" t="s">
        <v>8</v>
      </c>
      <c r="W27" s="1570">
        <f>J27</f>
        <v>100</v>
      </c>
      <c r="X27" s="1571"/>
      <c r="Y27" s="355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040"/>
      <c r="M28" s="2032"/>
      <c r="N28" s="2032"/>
      <c r="O28" s="2039"/>
      <c r="P28" s="3553"/>
      <c r="Q28" s="1573">
        <f t="shared" si="11"/>
        <v>111</v>
      </c>
      <c r="R28" s="1574" t="s">
        <v>8</v>
      </c>
      <c r="S28" s="1575">
        <f t="shared" ref="S28:S40" si="12">F28</f>
        <v>100</v>
      </c>
      <c r="T28" s="1574" t="s">
        <v>8</v>
      </c>
      <c r="U28" s="1575">
        <f t="shared" ref="U28:U40" si="13">H28</f>
        <v>100</v>
      </c>
      <c r="V28" s="1574" t="s">
        <v>8</v>
      </c>
      <c r="W28" s="1575">
        <f t="shared" ref="W28:W40" si="14">J28</f>
        <v>100</v>
      </c>
      <c r="X28" s="1568"/>
      <c r="Y28" s="3553"/>
      <c r="Z28" s="1576">
        <f t="shared" ref="Z28:Z40" si="15">Q28</f>
        <v>111</v>
      </c>
      <c r="AA28" s="1577">
        <f t="shared" si="3"/>
        <v>1</v>
      </c>
      <c r="AB28" s="1577">
        <f t="shared" si="4"/>
        <v>1</v>
      </c>
      <c r="AC28" s="1577">
        <f t="shared" si="5"/>
        <v>1</v>
      </c>
    </row>
    <row r="29" spans="1:29" ht="15">
      <c r="A29" s="2822"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040"/>
      <c r="M29" s="2032"/>
      <c r="N29" s="2032"/>
      <c r="O29" s="2039"/>
      <c r="P29" s="3554" t="s">
        <v>548</v>
      </c>
      <c r="Q29" s="1573" t="str">
        <f t="shared" si="11"/>
        <v>建筑类型</v>
      </c>
      <c r="R29" s="1574" t="s">
        <v>8</v>
      </c>
      <c r="S29" s="1575">
        <f t="shared" si="12"/>
        <v>100</v>
      </c>
      <c r="T29" s="1574" t="s">
        <v>8</v>
      </c>
      <c r="U29" s="1575">
        <f t="shared" si="13"/>
        <v>100</v>
      </c>
      <c r="V29" s="1574" t="s">
        <v>8</v>
      </c>
      <c r="W29" s="1575">
        <f t="shared" si="14"/>
        <v>100</v>
      </c>
      <c r="X29" s="1568"/>
      <c r="Y29" s="3555"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038"/>
      <c r="M30" s="2069"/>
      <c r="N30" s="2069"/>
      <c r="O30" s="2041"/>
      <c r="P30" s="3555"/>
      <c r="Q30" s="1606" t="str">
        <f t="shared" si="11"/>
        <v>项目建筑规模</v>
      </c>
      <c r="R30" s="1578" t="s">
        <v>8</v>
      </c>
      <c r="S30" s="1579" t="e">
        <f t="shared" si="12"/>
        <v>#N/A</v>
      </c>
      <c r="T30" s="1578" t="s">
        <v>8</v>
      </c>
      <c r="U30" s="1579" t="e">
        <f t="shared" si="13"/>
        <v>#N/A</v>
      </c>
      <c r="V30" s="1578" t="s">
        <v>8</v>
      </c>
      <c r="W30" s="1579" t="e">
        <f t="shared" si="14"/>
        <v>#N/A</v>
      </c>
      <c r="X30" s="1580"/>
      <c r="Y30" s="3555"/>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040"/>
      <c r="M31" s="2032"/>
      <c r="N31" s="2032"/>
      <c r="O31" s="2039"/>
      <c r="P31" s="3555"/>
      <c r="Q31" s="1573" t="str">
        <f t="shared" si="11"/>
        <v>建筑结构</v>
      </c>
      <c r="R31" s="1574" t="s">
        <v>8</v>
      </c>
      <c r="S31" s="1575">
        <f t="shared" si="12"/>
        <v>100</v>
      </c>
      <c r="T31" s="1574" t="s">
        <v>8</v>
      </c>
      <c r="U31" s="1575">
        <f t="shared" si="13"/>
        <v>100</v>
      </c>
      <c r="V31" s="1574" t="s">
        <v>8</v>
      </c>
      <c r="W31" s="1575">
        <f t="shared" si="14"/>
        <v>100</v>
      </c>
      <c r="X31" s="1568"/>
      <c r="Y31" s="3555"/>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040"/>
      <c r="M32" s="2032"/>
      <c r="N32" s="2032"/>
      <c r="O32" s="2039"/>
      <c r="P32" s="3555"/>
      <c r="Q32" s="1573" t="str">
        <f t="shared" si="11"/>
        <v>公共部分装修</v>
      </c>
      <c r="R32" s="1574" t="s">
        <v>8</v>
      </c>
      <c r="S32" s="1575">
        <f t="shared" si="12"/>
        <v>100</v>
      </c>
      <c r="T32" s="1574" t="s">
        <v>8</v>
      </c>
      <c r="U32" s="1575">
        <f t="shared" si="13"/>
        <v>100</v>
      </c>
      <c r="V32" s="1574" t="s">
        <v>8</v>
      </c>
      <c r="W32" s="1575">
        <f t="shared" si="14"/>
        <v>100</v>
      </c>
      <c r="X32" s="1568"/>
      <c r="Y32" s="3555"/>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040"/>
      <c r="M33" s="2032"/>
      <c r="N33" s="2032"/>
      <c r="O33" s="2039"/>
      <c r="P33" s="3555"/>
      <c r="Q33" s="1573" t="str">
        <f t="shared" si="11"/>
        <v>成新度</v>
      </c>
      <c r="R33" s="1574" t="s">
        <v>8</v>
      </c>
      <c r="S33" s="1575" t="e">
        <f t="shared" si="12"/>
        <v>#N/A</v>
      </c>
      <c r="T33" s="1574" t="s">
        <v>8</v>
      </c>
      <c r="U33" s="1575" t="e">
        <f t="shared" si="13"/>
        <v>#N/A</v>
      </c>
      <c r="V33" s="1574" t="s">
        <v>8</v>
      </c>
      <c r="W33" s="1575" t="e">
        <f t="shared" si="14"/>
        <v>#N/A</v>
      </c>
      <c r="X33" s="1568"/>
      <c r="Y33" s="3555"/>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33"/>
      <c r="M34" s="2034"/>
      <c r="N34" s="2034"/>
      <c r="O34" s="2035"/>
      <c r="P34" s="3555"/>
      <c r="Q34" s="1151" t="str">
        <f t="shared" si="11"/>
        <v>物业管理</v>
      </c>
      <c r="R34" s="1569" t="s">
        <v>8</v>
      </c>
      <c r="S34" s="1570">
        <f t="shared" si="12"/>
        <v>100</v>
      </c>
      <c r="T34" s="1569" t="s">
        <v>8</v>
      </c>
      <c r="U34" s="1570">
        <f t="shared" si="13"/>
        <v>100</v>
      </c>
      <c r="V34" s="1569" t="s">
        <v>8</v>
      </c>
      <c r="W34" s="1570">
        <f t="shared" si="14"/>
        <v>100</v>
      </c>
      <c r="X34" s="1571"/>
      <c r="Y34" s="3555"/>
      <c r="Z34" s="1150" t="str">
        <f t="shared" si="15"/>
        <v>物业管理</v>
      </c>
      <c r="AA34" s="1572">
        <f t="shared" si="3"/>
        <v>1</v>
      </c>
      <c r="AB34" s="1572">
        <f t="shared" si="4"/>
        <v>1</v>
      </c>
      <c r="AC34" s="1572">
        <f t="shared" si="5"/>
        <v>1</v>
      </c>
    </row>
    <row r="35" spans="1:29" ht="15">
      <c r="A35" s="594"/>
      <c r="B35" s="1793"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040"/>
      <c r="M35" s="2032"/>
      <c r="N35" s="2032"/>
      <c r="O35" s="2039"/>
      <c r="P35" s="3555" t="s">
        <v>548</v>
      </c>
      <c r="Q35" s="1573" t="str">
        <f t="shared" si="11"/>
        <v>市政基础设施</v>
      </c>
      <c r="R35" s="1574" t="s">
        <v>8</v>
      </c>
      <c r="S35" s="1575">
        <f t="shared" si="12"/>
        <v>100</v>
      </c>
      <c r="T35" s="1574" t="s">
        <v>8</v>
      </c>
      <c r="U35" s="1575">
        <f t="shared" si="13"/>
        <v>100</v>
      </c>
      <c r="V35" s="1574" t="s">
        <v>8</v>
      </c>
      <c r="W35" s="1575">
        <f t="shared" si="14"/>
        <v>100</v>
      </c>
      <c r="X35" s="1568"/>
      <c r="Y35" s="3555"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040"/>
      <c r="M36" s="2032"/>
      <c r="N36" s="2032"/>
      <c r="O36" s="2039"/>
      <c r="P36" s="3555"/>
      <c r="Q36" s="1573" t="str">
        <f t="shared" si="11"/>
        <v>内部装修</v>
      </c>
      <c r="R36" s="1574" t="s">
        <v>8</v>
      </c>
      <c r="S36" s="1575">
        <f t="shared" si="12"/>
        <v>100</v>
      </c>
      <c r="T36" s="1574" t="s">
        <v>8</v>
      </c>
      <c r="U36" s="1575">
        <f t="shared" si="13"/>
        <v>100</v>
      </c>
      <c r="V36" s="1574" t="s">
        <v>8</v>
      </c>
      <c r="W36" s="1575">
        <f t="shared" si="14"/>
        <v>100</v>
      </c>
      <c r="X36" s="1568"/>
      <c r="Y36" s="3555"/>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040"/>
      <c r="M37" s="2032"/>
      <c r="N37" s="2032"/>
      <c r="O37" s="2039"/>
      <c r="P37" s="3555"/>
      <c r="Q37" s="1573" t="str">
        <f t="shared" si="11"/>
        <v>内部装修状况</v>
      </c>
      <c r="R37" s="1574" t="s">
        <v>8</v>
      </c>
      <c r="S37" s="1575">
        <f t="shared" si="12"/>
        <v>100</v>
      </c>
      <c r="T37" s="1574" t="s">
        <v>8</v>
      </c>
      <c r="U37" s="1575">
        <f t="shared" si="13"/>
        <v>100</v>
      </c>
      <c r="V37" s="1574" t="s">
        <v>8</v>
      </c>
      <c r="W37" s="1575">
        <f t="shared" si="14"/>
        <v>100</v>
      </c>
      <c r="X37" s="1568"/>
      <c r="Y37" s="355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038"/>
      <c r="M38" s="2069"/>
      <c r="N38" s="2069"/>
      <c r="O38" s="2041"/>
      <c r="P38" s="3555"/>
      <c r="Q38" s="1606">
        <f t="shared" si="11"/>
        <v>111</v>
      </c>
      <c r="R38" s="1578" t="s">
        <v>8</v>
      </c>
      <c r="S38" s="1579">
        <f t="shared" si="12"/>
        <v>100</v>
      </c>
      <c r="T38" s="1578" t="s">
        <v>8</v>
      </c>
      <c r="U38" s="1579">
        <f t="shared" si="13"/>
        <v>100</v>
      </c>
      <c r="V38" s="1578" t="s">
        <v>8</v>
      </c>
      <c r="W38" s="1579">
        <f t="shared" si="14"/>
        <v>100</v>
      </c>
      <c r="X38" s="1580"/>
      <c r="Y38" s="355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040"/>
      <c r="M39" s="2032"/>
      <c r="N39" s="2032"/>
      <c r="O39" s="2039"/>
      <c r="P39" s="3555"/>
      <c r="Q39" s="1573">
        <f t="shared" si="11"/>
        <v>111</v>
      </c>
      <c r="R39" s="1574" t="s">
        <v>8</v>
      </c>
      <c r="S39" s="1575">
        <f t="shared" si="12"/>
        <v>100</v>
      </c>
      <c r="T39" s="1574" t="s">
        <v>8</v>
      </c>
      <c r="U39" s="1575">
        <f t="shared" si="13"/>
        <v>100</v>
      </c>
      <c r="V39" s="1574" t="s">
        <v>8</v>
      </c>
      <c r="W39" s="1575">
        <f t="shared" si="14"/>
        <v>100</v>
      </c>
      <c r="X39" s="1568"/>
      <c r="Y39" s="355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040"/>
      <c r="M40" s="2032"/>
      <c r="N40" s="2032"/>
      <c r="O40" s="2039"/>
      <c r="P40" s="3657"/>
      <c r="Q40" s="1573">
        <f t="shared" si="11"/>
        <v>111</v>
      </c>
      <c r="R40" s="1574" t="s">
        <v>8</v>
      </c>
      <c r="S40" s="1575">
        <f t="shared" si="12"/>
        <v>100</v>
      </c>
      <c r="T40" s="1574" t="s">
        <v>8</v>
      </c>
      <c r="U40" s="1575">
        <f t="shared" si="13"/>
        <v>100</v>
      </c>
      <c r="V40" s="1574" t="s">
        <v>8</v>
      </c>
      <c r="W40" s="1575">
        <f t="shared" si="14"/>
        <v>100</v>
      </c>
      <c r="X40" s="1568"/>
      <c r="Y40" s="3657"/>
      <c r="Z40" s="1576">
        <f t="shared" si="15"/>
        <v>111</v>
      </c>
      <c r="AA40" s="1577">
        <f t="shared" si="3"/>
        <v>1</v>
      </c>
      <c r="AB40" s="1577">
        <f t="shared" si="4"/>
        <v>1</v>
      </c>
      <c r="AC40" s="1577">
        <f t="shared" si="5"/>
        <v>1</v>
      </c>
    </row>
    <row r="41" spans="1:29" ht="15">
      <c r="A41" s="607" t="s">
        <v>734</v>
      </c>
      <c r="B41" s="887"/>
      <c r="C41" s="2546" t="s">
        <v>1</v>
      </c>
      <c r="D41" s="2547"/>
      <c r="E41" s="2548"/>
      <c r="F41" s="2549"/>
      <c r="G41" s="2550"/>
      <c r="H41" s="2551"/>
      <c r="I41" s="2548"/>
      <c r="J41" s="2551"/>
      <c r="K41" s="1612"/>
      <c r="L41" s="2042"/>
      <c r="M41" s="2043"/>
      <c r="N41" s="2032"/>
      <c r="O41" s="2043"/>
      <c r="P41" s="3550" t="str">
        <f>A41</f>
        <v>成交单价（元/平方米）</v>
      </c>
      <c r="Q41" s="3550"/>
      <c r="R41" s="3656">
        <f>E41</f>
        <v>0</v>
      </c>
      <c r="S41" s="3656"/>
      <c r="T41" s="3656">
        <f>G41</f>
        <v>0</v>
      </c>
      <c r="U41" s="3656"/>
      <c r="V41" s="3656">
        <f>I41</f>
        <v>0</v>
      </c>
      <c r="W41" s="3656"/>
      <c r="X41" s="1560"/>
      <c r="Y41" s="1582"/>
      <c r="Z41" s="1560"/>
      <c r="AA41" s="1560"/>
      <c r="AB41" s="1560"/>
      <c r="AC41" s="1560"/>
    </row>
    <row r="42" spans="1:29" ht="15.75" thickBot="1">
      <c r="A42" s="615" t="s">
        <v>2759</v>
      </c>
      <c r="B42" s="888"/>
      <c r="C42" s="2552" t="e">
        <f>R43</f>
        <v>#DIV/0!</v>
      </c>
      <c r="D42" s="2553"/>
      <c r="E42" s="2554" t="e">
        <f>R42</f>
        <v>#DIV/0!</v>
      </c>
      <c r="F42" s="2554"/>
      <c r="G42" s="2552" t="e">
        <f>T42</f>
        <v>#DIV/0!</v>
      </c>
      <c r="H42" s="2553"/>
      <c r="I42" s="2554" t="e">
        <f>V42</f>
        <v>#DIV/0!</v>
      </c>
      <c r="J42" s="2553"/>
      <c r="K42" s="1613"/>
      <c r="L42" s="2042"/>
      <c r="M42" s="2043"/>
      <c r="N42" s="2032"/>
      <c r="O42" s="2043"/>
      <c r="P42" s="3550" t="str">
        <f>A42</f>
        <v>比较价格（元/平方米）</v>
      </c>
      <c r="Q42" s="3550"/>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560"/>
      <c r="Y42" s="1560"/>
      <c r="Z42" s="1560"/>
      <c r="AA42" s="1560"/>
      <c r="AB42" s="1560"/>
      <c r="AC42" s="1560"/>
    </row>
    <row r="43" spans="1:29" ht="15.75" thickBot="1">
      <c r="A43" s="621" t="s">
        <v>2922</v>
      </c>
      <c r="B43" s="622"/>
      <c r="C43" s="2555" t="e">
        <f>R43</f>
        <v>#DIV/0!</v>
      </c>
      <c r="D43" s="2555"/>
      <c r="E43" s="2555"/>
      <c r="F43" s="2555"/>
      <c r="G43" s="2555"/>
      <c r="H43" s="2555"/>
      <c r="I43" s="2555"/>
      <c r="J43" s="2555"/>
      <c r="K43" s="1614"/>
      <c r="L43" s="2042"/>
      <c r="M43" s="2043"/>
      <c r="N43" s="2043"/>
      <c r="O43" s="2043"/>
      <c r="P43" s="3570" t="str">
        <f>A43</f>
        <v>估价对象XX用房的比较价格（楼面单价，元/平方米）</v>
      </c>
      <c r="Q43" s="3571"/>
      <c r="R43" s="3655" t="e">
        <f>IF(F1="售价",ROUND(AVERAGE(R42:V42),0),ROUND(AVERAGE(R42:V42),1))</f>
        <v>#DIV/0!</v>
      </c>
      <c r="S43" s="3655"/>
      <c r="T43" s="3655"/>
      <c r="U43" s="3655"/>
      <c r="V43" s="3655"/>
      <c r="W43" s="3655"/>
      <c r="X43" s="1560"/>
      <c r="Y43" s="1560"/>
      <c r="Z43" s="1560"/>
      <c r="AA43" s="1560"/>
      <c r="AB43" s="1560"/>
      <c r="AC43" s="1560"/>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345" customFormat="1" ht="13.5" customHeight="1">
      <c r="A48" s="2044"/>
      <c r="B48" s="2044"/>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3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585" t="s">
        <v>572</v>
      </c>
      <c r="B51" s="1560"/>
      <c r="C51" s="1584"/>
      <c r="D51" s="1584"/>
      <c r="E51" s="1584"/>
      <c r="F51" s="1586"/>
      <c r="G51" s="1586"/>
      <c r="H51" s="1584"/>
      <c r="I51" s="1584"/>
      <c r="J51" s="1584"/>
      <c r="K51" s="1587"/>
      <c r="L51" s="1583"/>
      <c r="M51" s="1584"/>
      <c r="N51" s="1584"/>
      <c r="O51" s="1584"/>
      <c r="P51" s="2055"/>
      <c r="Q51" s="2056"/>
      <c r="R51" s="2043"/>
      <c r="S51" s="2043"/>
      <c r="T51" s="2043"/>
      <c r="U51" s="2043"/>
      <c r="V51" s="2043"/>
      <c r="W51" s="2043"/>
      <c r="X51" s="2043"/>
      <c r="Y51" s="2043"/>
      <c r="Z51" s="2043"/>
      <c r="AA51" s="2043"/>
      <c r="AB51" s="2043"/>
      <c r="AC51" s="2043"/>
    </row>
    <row r="52" spans="1:29" s="1347" customFormat="1" ht="15">
      <c r="A52" s="645" t="s">
        <v>527</v>
      </c>
      <c r="B52" s="646"/>
      <c r="C52" s="2717" t="str">
        <f>YEAR(C7)&amp;"-"&amp;MONTH(C7)</f>
        <v>2017-12</v>
      </c>
      <c r="D52" s="2719">
        <f>EDATE(C52,-1)</f>
        <v>43040</v>
      </c>
      <c r="E52" s="2719">
        <f t="shared" ref="E52:O52" si="16">EDATE(D52,-1)</f>
        <v>43009</v>
      </c>
      <c r="F52" s="2719">
        <f t="shared" si="16"/>
        <v>42979</v>
      </c>
      <c r="G52" s="2719">
        <f t="shared" si="16"/>
        <v>42948</v>
      </c>
      <c r="H52" s="2719">
        <f t="shared" si="16"/>
        <v>42917</v>
      </c>
      <c r="I52" s="2719">
        <f t="shared" si="16"/>
        <v>42887</v>
      </c>
      <c r="J52" s="2719">
        <f t="shared" si="16"/>
        <v>42856</v>
      </c>
      <c r="K52" s="2719">
        <f t="shared" si="16"/>
        <v>42826</v>
      </c>
      <c r="L52" s="2719">
        <f t="shared" si="16"/>
        <v>42795</v>
      </c>
      <c r="M52" s="2719">
        <f t="shared" si="16"/>
        <v>42767</v>
      </c>
      <c r="N52" s="2719">
        <f t="shared" si="16"/>
        <v>42736</v>
      </c>
      <c r="O52" s="2719">
        <f t="shared" si="16"/>
        <v>42705</v>
      </c>
      <c r="P52" s="2058"/>
      <c r="Q52" s="2059"/>
      <c r="R52" s="2059"/>
      <c r="S52" s="2059"/>
      <c r="T52" s="2059"/>
      <c r="U52" s="2059"/>
      <c r="V52" s="2059"/>
      <c r="W52" s="2059"/>
      <c r="X52" s="2059"/>
      <c r="Y52" s="2059"/>
      <c r="Z52" s="2059"/>
      <c r="AA52" s="2059"/>
      <c r="AB52" s="2059"/>
      <c r="AC52" s="2059"/>
    </row>
    <row r="53" spans="1:29" s="1220" customFormat="1" ht="15">
      <c r="A53" s="647"/>
      <c r="B53" s="648"/>
      <c r="C53" s="649">
        <v>100</v>
      </c>
      <c r="D53" s="650"/>
      <c r="E53" s="650"/>
      <c r="F53" s="650"/>
      <c r="G53" s="650"/>
      <c r="H53" s="650"/>
      <c r="I53" s="650"/>
      <c r="J53" s="650"/>
      <c r="K53" s="650"/>
      <c r="L53" s="650"/>
      <c r="M53" s="651"/>
      <c r="N53" s="650"/>
      <c r="O53" s="652"/>
      <c r="P53" s="2056"/>
      <c r="Q53" s="1891"/>
      <c r="R53" s="1891"/>
      <c r="S53" s="1891"/>
      <c r="T53" s="1891"/>
      <c r="U53" s="1891"/>
      <c r="V53" s="1891"/>
      <c r="W53" s="1891"/>
      <c r="X53" s="1891"/>
      <c r="Y53" s="1891"/>
      <c r="Z53" s="1891"/>
      <c r="AA53" s="1891"/>
      <c r="AB53" s="1891"/>
      <c r="AC53" s="1891"/>
    </row>
    <row r="54" spans="1:29" s="1220" customFormat="1" ht="15.75" thickBot="1">
      <c r="A54" s="653" t="s">
        <v>573</v>
      </c>
      <c r="B54" s="654"/>
      <c r="C54" s="655"/>
      <c r="D54" s="656"/>
      <c r="E54" s="656"/>
      <c r="F54" s="656"/>
      <c r="G54" s="656"/>
      <c r="H54" s="656"/>
      <c r="I54" s="656"/>
      <c r="J54" s="656"/>
      <c r="K54" s="656"/>
      <c r="L54" s="656"/>
      <c r="M54" s="657"/>
      <c r="N54" s="656"/>
      <c r="O54" s="658"/>
      <c r="P54" s="2056"/>
      <c r="Q54" s="2056"/>
      <c r="R54" s="1891"/>
      <c r="S54" s="1891"/>
      <c r="T54" s="1891"/>
      <c r="U54" s="1891"/>
      <c r="V54" s="1891"/>
      <c r="W54" s="1891"/>
      <c r="X54" s="1891"/>
      <c r="Y54" s="1891"/>
      <c r="Z54" s="1891"/>
      <c r="AA54" s="1891"/>
      <c r="AB54" s="1891"/>
      <c r="AC54" s="1891"/>
    </row>
    <row r="55" spans="1:29" s="1220" customFormat="1" ht="15">
      <c r="A55" s="659" t="s">
        <v>529</v>
      </c>
      <c r="B55" s="648"/>
      <c r="C55" s="660" t="s">
        <v>574</v>
      </c>
      <c r="D55" s="661"/>
      <c r="E55" s="661"/>
      <c r="F55" s="661"/>
      <c r="G55" s="661"/>
      <c r="H55" s="661"/>
      <c r="I55" s="661"/>
      <c r="J55" s="661"/>
      <c r="K55" s="661"/>
      <c r="L55" s="662"/>
      <c r="M55" s="663"/>
      <c r="N55" s="2060"/>
      <c r="O55" s="2060"/>
      <c r="P55" s="2061"/>
      <c r="Q55" s="2056"/>
      <c r="R55" s="1891"/>
      <c r="S55" s="1891"/>
      <c r="T55" s="1891"/>
      <c r="U55" s="1891"/>
      <c r="V55" s="1891"/>
      <c r="W55" s="1891"/>
      <c r="X55" s="1891"/>
      <c r="Y55" s="1891"/>
      <c r="Z55" s="1891"/>
      <c r="AA55" s="1891"/>
      <c r="AB55" s="1891"/>
      <c r="AC55" s="1891"/>
    </row>
    <row r="56" spans="1:29" s="1220" customFormat="1" ht="15.75" thickBot="1">
      <c r="A56" s="659"/>
      <c r="B56" s="648"/>
      <c r="C56" s="649">
        <v>100</v>
      </c>
      <c r="D56" s="650"/>
      <c r="E56" s="650"/>
      <c r="F56" s="650"/>
      <c r="G56" s="650"/>
      <c r="H56" s="650"/>
      <c r="I56" s="650"/>
      <c r="J56" s="650"/>
      <c r="K56" s="650"/>
      <c r="L56" s="650"/>
      <c r="M56" s="652"/>
      <c r="N56" s="2060"/>
      <c r="O56" s="2060"/>
      <c r="P56" s="2056"/>
      <c r="Q56" s="2056"/>
      <c r="R56" s="1891"/>
      <c r="S56" s="1891"/>
      <c r="T56" s="1891"/>
      <c r="U56" s="1891"/>
      <c r="V56" s="1891"/>
      <c r="W56" s="1891"/>
      <c r="X56" s="1891"/>
      <c r="Y56" s="1891"/>
      <c r="Z56" s="1891"/>
      <c r="AA56" s="1891"/>
      <c r="AB56" s="1891"/>
      <c r="AC56" s="1891"/>
    </row>
    <row r="57" spans="1:29">
      <c r="A57" s="664" t="s">
        <v>575</v>
      </c>
      <c r="B57" s="665" t="s">
        <v>532</v>
      </c>
      <c r="C57" s="704">
        <f>C9</f>
        <v>0</v>
      </c>
      <c r="D57" s="598"/>
      <c r="E57" s="598"/>
      <c r="F57" s="598"/>
      <c r="G57" s="598"/>
      <c r="H57" s="598"/>
      <c r="I57" s="598"/>
      <c r="J57" s="598"/>
      <c r="K57" s="666"/>
      <c r="L57" s="667"/>
      <c r="M57" s="668"/>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71"/>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062"/>
      <c r="O59" s="2062"/>
      <c r="P59" s="2063"/>
      <c r="Q59" s="2056"/>
      <c r="R59" s="2043"/>
      <c r="S59" s="2043"/>
      <c r="T59" s="2043"/>
      <c r="U59" s="2043"/>
      <c r="V59" s="2043"/>
      <c r="W59" s="2043"/>
      <c r="X59" s="2043"/>
      <c r="Y59" s="2043"/>
      <c r="Z59" s="2043"/>
      <c r="AA59" s="2043"/>
      <c r="AB59" s="2043"/>
      <c r="AC59" s="20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064"/>
      <c r="O60" s="2064"/>
      <c r="P60" s="2063"/>
      <c r="Q60" s="2056"/>
      <c r="R60" s="2043"/>
      <c r="S60" s="2043"/>
      <c r="T60" s="2043"/>
      <c r="U60" s="2043"/>
      <c r="V60" s="2043"/>
      <c r="W60" s="2043"/>
      <c r="X60" s="2043"/>
      <c r="Y60" s="2043"/>
      <c r="Z60" s="2043"/>
      <c r="AA60" s="2043"/>
      <c r="AB60" s="2043"/>
      <c r="AC60" s="2043"/>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669"/>
      <c r="B62" s="683"/>
      <c r="C62" s="541"/>
      <c r="D62" s="541"/>
      <c r="E62" s="541"/>
      <c r="F62" s="541"/>
      <c r="G62" s="541"/>
      <c r="H62" s="541"/>
      <c r="I62" s="541"/>
      <c r="J62" s="541"/>
      <c r="K62" s="684"/>
      <c r="L62" s="685"/>
      <c r="M62" s="686"/>
      <c r="N62" s="2062"/>
      <c r="O62" s="2062"/>
      <c r="P62" s="2063"/>
      <c r="Q62" s="2056"/>
      <c r="R62" s="2043"/>
      <c r="S62" s="2043"/>
      <c r="T62" s="2043"/>
      <c r="U62" s="2043"/>
      <c r="V62" s="2043"/>
      <c r="W62" s="2043"/>
      <c r="X62" s="2043"/>
      <c r="Y62" s="2043"/>
      <c r="Z62" s="2043"/>
      <c r="AA62" s="2043"/>
      <c r="AB62" s="2043"/>
      <c r="AC62" s="20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064"/>
      <c r="O63" s="2064"/>
      <c r="P63" s="2063"/>
      <c r="Q63" s="2056"/>
      <c r="R63" s="2043"/>
      <c r="S63" s="2043"/>
      <c r="T63" s="2043"/>
      <c r="U63" s="2043"/>
      <c r="V63" s="2043"/>
      <c r="W63" s="2043"/>
      <c r="X63" s="2043"/>
      <c r="Y63" s="2043"/>
      <c r="Z63" s="2043"/>
      <c r="AA63" s="2043"/>
      <c r="AB63" s="2043"/>
      <c r="AC63" s="2043"/>
    </row>
    <row r="64" spans="1:29" s="1339" customFormat="1" ht="15.75" thickTop="1">
      <c r="A64" s="687"/>
      <c r="B64" s="673">
        <f>B12</f>
        <v>111</v>
      </c>
      <c r="C64" s="688"/>
      <c r="D64" s="688"/>
      <c r="E64" s="688"/>
      <c r="F64" s="688"/>
      <c r="G64" s="688"/>
      <c r="H64" s="689"/>
      <c r="I64" s="689"/>
      <c r="J64" s="689"/>
      <c r="K64" s="689"/>
      <c r="L64" s="690"/>
      <c r="M64" s="691"/>
      <c r="N64" s="2065"/>
      <c r="O64" s="2065"/>
      <c r="P64" s="2066"/>
      <c r="Q64" s="2067"/>
      <c r="R64" s="2068"/>
      <c r="S64" s="2068"/>
      <c r="T64" s="2068"/>
      <c r="U64" s="2068"/>
      <c r="V64" s="2068"/>
      <c r="W64" s="2068"/>
      <c r="X64" s="2068"/>
      <c r="Y64" s="2068"/>
      <c r="Z64" s="2068"/>
      <c r="AA64" s="2068"/>
      <c r="AB64" s="2068"/>
      <c r="AC64" s="2068"/>
    </row>
    <row r="65" spans="1:29" s="1339" customFormat="1" ht="15.75" thickBot="1">
      <c r="A65" s="687"/>
      <c r="B65" s="678"/>
      <c r="C65" s="692"/>
      <c r="D65" s="671"/>
      <c r="E65" s="671"/>
      <c r="F65" s="671"/>
      <c r="G65" s="671"/>
      <c r="H65" s="671"/>
      <c r="I65" s="671"/>
      <c r="J65" s="671"/>
      <c r="K65" s="671"/>
      <c r="L65" s="671"/>
      <c r="M65" s="672"/>
      <c r="N65" s="2064"/>
      <c r="O65" s="2064"/>
      <c r="P65" s="2066"/>
      <c r="Q65" s="2067"/>
      <c r="R65" s="2068"/>
      <c r="S65" s="2068"/>
      <c r="T65" s="2068"/>
      <c r="U65" s="2068"/>
      <c r="V65" s="2068"/>
      <c r="W65" s="2068"/>
      <c r="X65" s="2068"/>
      <c r="Y65" s="2068"/>
      <c r="Z65" s="2068"/>
      <c r="AA65" s="2068"/>
      <c r="AB65" s="2068"/>
      <c r="AC65" s="2068"/>
    </row>
    <row r="66" spans="1:29" s="1339" customFormat="1" ht="15.75" thickTop="1">
      <c r="A66" s="687"/>
      <c r="B66" s="673">
        <f>B13</f>
        <v>111</v>
      </c>
      <c r="C66" s="688"/>
      <c r="D66" s="688"/>
      <c r="E66" s="688"/>
      <c r="F66" s="688"/>
      <c r="G66" s="688"/>
      <c r="H66" s="689"/>
      <c r="I66" s="689"/>
      <c r="J66" s="689"/>
      <c r="K66" s="689"/>
      <c r="L66" s="690"/>
      <c r="M66" s="691"/>
      <c r="N66" s="2065"/>
      <c r="O66" s="2065"/>
      <c r="P66" s="2069"/>
      <c r="Q66" s="2070"/>
      <c r="R66" s="2068"/>
      <c r="S66" s="2068"/>
      <c r="T66" s="2068"/>
      <c r="U66" s="2068"/>
      <c r="V66" s="2068"/>
      <c r="W66" s="2068"/>
      <c r="X66" s="2068"/>
      <c r="Y66" s="2068"/>
      <c r="Z66" s="2068"/>
      <c r="AA66" s="2068"/>
      <c r="AB66" s="2068"/>
      <c r="AC66" s="2068"/>
    </row>
    <row r="67" spans="1:29" s="1339" customFormat="1" ht="15.75" thickBot="1">
      <c r="A67" s="687"/>
      <c r="B67" s="678"/>
      <c r="C67" s="692"/>
      <c r="D67" s="671"/>
      <c r="E67" s="671"/>
      <c r="F67" s="671"/>
      <c r="G67" s="692"/>
      <c r="H67" s="693"/>
      <c r="I67" s="693"/>
      <c r="J67" s="693"/>
      <c r="K67" s="693"/>
      <c r="L67" s="693"/>
      <c r="M67" s="694"/>
      <c r="N67" s="2065"/>
      <c r="O67" s="2065"/>
      <c r="P67" s="2066"/>
      <c r="Q67" s="2067"/>
      <c r="R67" s="2068"/>
      <c r="S67" s="2068"/>
      <c r="T67" s="2068"/>
      <c r="U67" s="2068"/>
      <c r="V67" s="2068"/>
      <c r="W67" s="2068"/>
      <c r="X67" s="2068"/>
      <c r="Y67" s="2068"/>
      <c r="Z67" s="2068"/>
      <c r="AA67" s="2068"/>
      <c r="AB67" s="2068"/>
      <c r="AC67" s="2068"/>
    </row>
    <row r="68" spans="1:29" s="1339" customFormat="1" ht="15.75" thickTop="1">
      <c r="A68" s="687"/>
      <c r="B68" s="681">
        <f>B14</f>
        <v>111</v>
      </c>
      <c r="C68" s="661"/>
      <c r="D68" s="661"/>
      <c r="E68" s="661"/>
      <c r="F68" s="661"/>
      <c r="G68" s="661"/>
      <c r="H68" s="695"/>
      <c r="I68" s="695"/>
      <c r="J68" s="695"/>
      <c r="K68" s="695"/>
      <c r="L68" s="696"/>
      <c r="M68" s="697"/>
      <c r="N68" s="2065"/>
      <c r="O68" s="2065"/>
      <c r="P68" s="2071"/>
      <c r="Q68" s="2067"/>
      <c r="R68" s="2068"/>
      <c r="S68" s="2068"/>
      <c r="T68" s="2068"/>
      <c r="U68" s="2068"/>
      <c r="V68" s="2068"/>
      <c r="W68" s="2068"/>
      <c r="X68" s="2068"/>
      <c r="Y68" s="2068"/>
      <c r="Z68" s="2068"/>
      <c r="AA68" s="2068"/>
      <c r="AB68" s="2068"/>
      <c r="AC68" s="2068"/>
    </row>
    <row r="69" spans="1:29" s="1339" customFormat="1" ht="15.75" thickBot="1">
      <c r="A69" s="698"/>
      <c r="B69" s="699"/>
      <c r="C69" s="700"/>
      <c r="D69" s="700"/>
      <c r="E69" s="700"/>
      <c r="F69" s="700"/>
      <c r="G69" s="700"/>
      <c r="H69" s="701"/>
      <c r="I69" s="701"/>
      <c r="J69" s="701"/>
      <c r="K69" s="701"/>
      <c r="L69" s="701"/>
      <c r="M69" s="702"/>
      <c r="N69" s="2065"/>
      <c r="O69" s="2065"/>
      <c r="P69" s="2066"/>
      <c r="Q69" s="2067"/>
      <c r="R69" s="2068"/>
      <c r="S69" s="2068"/>
      <c r="T69" s="2068"/>
      <c r="U69" s="2068"/>
      <c r="V69" s="2068"/>
      <c r="W69" s="2068"/>
      <c r="X69" s="2068"/>
      <c r="Y69" s="2068"/>
      <c r="Z69" s="2068"/>
      <c r="AA69" s="2068"/>
      <c r="AB69" s="2068"/>
      <c r="AC69" s="2068"/>
    </row>
    <row r="70" spans="1:29">
      <c r="A70" s="664" t="s">
        <v>537</v>
      </c>
      <c r="B70" s="665" t="s">
        <v>583</v>
      </c>
      <c r="C70" s="703" t="s">
        <v>577</v>
      </c>
      <c r="D70" s="703" t="s">
        <v>578</v>
      </c>
      <c r="E70" s="703" t="s">
        <v>579</v>
      </c>
      <c r="F70" s="703" t="s">
        <v>580</v>
      </c>
      <c r="G70" s="703" t="s">
        <v>581</v>
      </c>
      <c r="H70" s="704"/>
      <c r="I70" s="704"/>
      <c r="J70" s="704"/>
      <c r="K70" s="705"/>
      <c r="L70" s="706"/>
      <c r="M70" s="707"/>
      <c r="N70" s="2062"/>
      <c r="O70" s="2062"/>
      <c r="P70" s="2072"/>
      <c r="Q70" s="2056"/>
      <c r="R70" s="2043"/>
      <c r="S70" s="2043"/>
      <c r="T70" s="2043"/>
      <c r="U70" s="2043"/>
      <c r="V70" s="2043"/>
      <c r="W70" s="2043"/>
      <c r="X70" s="2043"/>
      <c r="Y70" s="2043"/>
      <c r="Z70" s="2043"/>
      <c r="AA70" s="2043"/>
      <c r="AB70" s="2043"/>
      <c r="AC70" s="20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064"/>
      <c r="O71" s="2064"/>
      <c r="P71" s="2063"/>
      <c r="Q71" s="2056"/>
      <c r="R71" s="2043"/>
      <c r="S71" s="2043"/>
      <c r="T71" s="2043"/>
      <c r="U71" s="2043"/>
      <c r="V71" s="2043"/>
      <c r="W71" s="2043"/>
      <c r="X71" s="2043"/>
      <c r="Y71" s="2043"/>
      <c r="Z71" s="2043"/>
      <c r="AA71" s="2043"/>
      <c r="AB71" s="2043"/>
      <c r="AC71" s="2043"/>
    </row>
    <row r="72" spans="1:29" ht="15.75" thickTop="1">
      <c r="A72" s="669"/>
      <c r="B72" s="673" t="s">
        <v>584</v>
      </c>
      <c r="C72" s="708" t="s">
        <v>577</v>
      </c>
      <c r="D72" s="708" t="s">
        <v>578</v>
      </c>
      <c r="E72" s="708" t="s">
        <v>579</v>
      </c>
      <c r="F72" s="708" t="s">
        <v>580</v>
      </c>
      <c r="G72" s="708" t="s">
        <v>581</v>
      </c>
      <c r="H72" s="674"/>
      <c r="I72" s="674"/>
      <c r="J72" s="674"/>
      <c r="K72" s="675"/>
      <c r="L72" s="676"/>
      <c r="M72" s="677"/>
      <c r="N72" s="2062"/>
      <c r="O72" s="2062"/>
      <c r="P72" s="2063"/>
      <c r="Q72" s="2056"/>
      <c r="R72" s="2043"/>
      <c r="S72" s="2043"/>
      <c r="T72" s="2043"/>
      <c r="U72" s="2043"/>
      <c r="V72" s="2043"/>
      <c r="W72" s="2043"/>
      <c r="X72" s="2043"/>
      <c r="Y72" s="2043"/>
      <c r="Z72" s="2043"/>
      <c r="AA72" s="2043"/>
      <c r="AB72" s="2043"/>
      <c r="AC72" s="20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064"/>
      <c r="O73" s="2064"/>
      <c r="P73" s="2063"/>
      <c r="Q73" s="2056"/>
      <c r="R73" s="2043"/>
      <c r="S73" s="2043"/>
      <c r="T73" s="2043"/>
      <c r="U73" s="2043"/>
      <c r="V73" s="2043"/>
      <c r="W73" s="2043"/>
      <c r="X73" s="2043"/>
      <c r="Y73" s="2043"/>
      <c r="Z73" s="2043"/>
      <c r="AA73" s="2043"/>
      <c r="AB73" s="2043"/>
      <c r="AC73" s="2043"/>
    </row>
    <row r="74" spans="1:29" ht="15.75" thickTop="1">
      <c r="A74" s="669"/>
      <c r="B74" s="1794" t="s">
        <v>2554</v>
      </c>
      <c r="C74" s="708" t="s">
        <v>577</v>
      </c>
      <c r="D74" s="708" t="s">
        <v>578</v>
      </c>
      <c r="E74" s="708" t="s">
        <v>579</v>
      </c>
      <c r="F74" s="708" t="s">
        <v>580</v>
      </c>
      <c r="G74" s="708" t="s">
        <v>581</v>
      </c>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2516" t="s">
        <v>2555</v>
      </c>
      <c r="C76" s="2517" t="s">
        <v>2556</v>
      </c>
      <c r="D76" s="2517" t="s">
        <v>2557</v>
      </c>
      <c r="E76" s="2517" t="s">
        <v>2558</v>
      </c>
      <c r="F76" s="2517" t="s">
        <v>2559</v>
      </c>
      <c r="G76" s="2517" t="s">
        <v>2560</v>
      </c>
      <c r="H76" s="935"/>
      <c r="I76" s="935"/>
      <c r="J76" s="935"/>
      <c r="K76" s="935"/>
      <c r="L76" s="935"/>
      <c r="M76" s="559"/>
      <c r="N76" s="2064"/>
      <c r="O76" s="2064"/>
      <c r="P76" s="2063"/>
      <c r="Q76" s="2056"/>
      <c r="R76" s="2043"/>
      <c r="S76" s="2043"/>
      <c r="T76" s="2043"/>
      <c r="U76" s="2043"/>
      <c r="V76" s="2043"/>
      <c r="W76" s="2043"/>
      <c r="X76" s="2043"/>
      <c r="Y76" s="2043"/>
      <c r="Z76" s="2043"/>
      <c r="AA76" s="2043"/>
      <c r="AB76" s="2043"/>
      <c r="AC76" s="20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782</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s="1220" customFormat="1" ht="15.75" thickTop="1">
      <c r="A80" s="709"/>
      <c r="B80" s="673">
        <f>B25</f>
        <v>111</v>
      </c>
      <c r="C80" s="688"/>
      <c r="D80" s="688"/>
      <c r="E80" s="688"/>
      <c r="F80" s="688"/>
      <c r="G80" s="688"/>
      <c r="H80" s="688"/>
      <c r="I80" s="688"/>
      <c r="J80" s="688"/>
      <c r="K80" s="688"/>
      <c r="L80" s="890"/>
      <c r="M80" s="891"/>
      <c r="N80" s="2060"/>
      <c r="O80" s="2060"/>
      <c r="P80" s="2063"/>
      <c r="Q80" s="2056"/>
      <c r="R80" s="1891"/>
      <c r="S80" s="1891"/>
      <c r="T80" s="1891"/>
      <c r="U80" s="1891"/>
      <c r="V80" s="1891"/>
      <c r="W80" s="1891"/>
      <c r="X80" s="1891"/>
      <c r="Y80" s="1891"/>
      <c r="Z80" s="1891"/>
      <c r="AA80" s="1891"/>
      <c r="AB80" s="1891"/>
      <c r="AC80" s="1891"/>
    </row>
    <row r="81" spans="1:29" s="1220" customFormat="1" ht="15.75" thickBot="1">
      <c r="A81" s="709"/>
      <c r="B81" s="678"/>
      <c r="C81" s="692"/>
      <c r="D81" s="671"/>
      <c r="E81" s="671"/>
      <c r="F81" s="671"/>
      <c r="G81" s="671"/>
      <c r="H81" s="671"/>
      <c r="I81" s="671"/>
      <c r="J81" s="671"/>
      <c r="K81" s="671"/>
      <c r="L81" s="671"/>
      <c r="M81" s="672"/>
      <c r="N81" s="2064"/>
      <c r="O81" s="2064"/>
      <c r="P81" s="2063"/>
      <c r="Q81" s="2056"/>
      <c r="R81" s="1891"/>
      <c r="S81" s="1891"/>
      <c r="T81" s="1891"/>
      <c r="U81" s="1891"/>
      <c r="V81" s="1891"/>
      <c r="W81" s="1891"/>
      <c r="X81" s="1891"/>
      <c r="Y81" s="1891"/>
      <c r="Z81" s="1891"/>
      <c r="AA81" s="1891"/>
      <c r="AB81" s="1891"/>
      <c r="AC81" s="1891"/>
    </row>
    <row r="82" spans="1:29" s="1220" customFormat="1" ht="15.75" thickTop="1">
      <c r="A82" s="709"/>
      <c r="B82" s="673">
        <f>B26</f>
        <v>111</v>
      </c>
      <c r="C82" s="688"/>
      <c r="D82" s="688"/>
      <c r="E82" s="688"/>
      <c r="F82" s="688"/>
      <c r="G82" s="688"/>
      <c r="H82" s="688"/>
      <c r="I82" s="688"/>
      <c r="J82" s="688"/>
      <c r="K82" s="688"/>
      <c r="L82" s="890"/>
      <c r="M82" s="891"/>
      <c r="N82" s="2060"/>
      <c r="O82" s="2060"/>
      <c r="P82" s="2063"/>
      <c r="Q82" s="2056"/>
      <c r="R82" s="1891"/>
      <c r="S82" s="1891"/>
      <c r="T82" s="1891"/>
      <c r="U82" s="1891"/>
      <c r="V82" s="1891"/>
      <c r="W82" s="1891"/>
      <c r="X82" s="1891"/>
      <c r="Y82" s="1891"/>
      <c r="Z82" s="1891"/>
      <c r="AA82" s="1891"/>
      <c r="AB82" s="1891"/>
      <c r="AC82" s="1891"/>
    </row>
    <row r="83" spans="1:29" s="1220" customFormat="1" ht="15.75" thickBot="1">
      <c r="A83" s="709"/>
      <c r="B83" s="678"/>
      <c r="C83" s="692"/>
      <c r="D83" s="671"/>
      <c r="E83" s="671"/>
      <c r="F83" s="671"/>
      <c r="G83" s="671"/>
      <c r="H83" s="671"/>
      <c r="I83" s="671"/>
      <c r="J83" s="671"/>
      <c r="K83" s="671"/>
      <c r="L83" s="671"/>
      <c r="M83" s="672"/>
      <c r="N83" s="2064"/>
      <c r="O83" s="2064"/>
      <c r="P83" s="2063"/>
      <c r="Q83" s="2056"/>
      <c r="R83" s="1891"/>
      <c r="S83" s="1891"/>
      <c r="T83" s="1891"/>
      <c r="U83" s="1891"/>
      <c r="V83" s="1891"/>
      <c r="W83" s="1891"/>
      <c r="X83" s="1891"/>
      <c r="Y83" s="1891"/>
      <c r="Z83" s="1891"/>
      <c r="AA83" s="1891"/>
      <c r="AB83" s="1891"/>
      <c r="AC83" s="1891"/>
    </row>
    <row r="84" spans="1:29" s="1339" customFormat="1" ht="15.75" thickTop="1">
      <c r="A84" s="687"/>
      <c r="B84" s="673">
        <f>B27</f>
        <v>111</v>
      </c>
      <c r="C84" s="688"/>
      <c r="D84" s="688"/>
      <c r="E84" s="688"/>
      <c r="F84" s="688"/>
      <c r="G84" s="688"/>
      <c r="H84" s="688"/>
      <c r="I84" s="688"/>
      <c r="J84" s="688"/>
      <c r="K84" s="688"/>
      <c r="L84" s="890"/>
      <c r="M84" s="891"/>
      <c r="N84" s="2065"/>
      <c r="O84" s="2065"/>
      <c r="P84" s="2066"/>
      <c r="Q84" s="2067"/>
      <c r="R84" s="2068"/>
      <c r="S84" s="2068"/>
      <c r="T84" s="2068"/>
      <c r="U84" s="2068"/>
      <c r="V84" s="2068"/>
      <c r="W84" s="2068"/>
      <c r="X84" s="2068"/>
      <c r="Y84" s="2068"/>
      <c r="Z84" s="2068"/>
      <c r="AA84" s="2068"/>
      <c r="AB84" s="2068"/>
      <c r="AC84" s="2068"/>
    </row>
    <row r="85" spans="1:29" s="1339" customFormat="1" ht="15.75" thickBot="1">
      <c r="A85" s="687"/>
      <c r="B85" s="678"/>
      <c r="C85" s="692"/>
      <c r="D85" s="671"/>
      <c r="E85" s="671"/>
      <c r="F85" s="671"/>
      <c r="G85" s="671"/>
      <c r="H85" s="671"/>
      <c r="I85" s="671"/>
      <c r="J85" s="671"/>
      <c r="K85" s="671"/>
      <c r="L85" s="671"/>
      <c r="M85" s="672"/>
      <c r="N85" s="2065"/>
      <c r="O85" s="2065"/>
      <c r="P85" s="2066"/>
      <c r="Q85" s="2067"/>
      <c r="R85" s="2068"/>
      <c r="S85" s="2068"/>
      <c r="T85" s="2068"/>
      <c r="U85" s="2068"/>
      <c r="V85" s="2068"/>
      <c r="W85" s="2068"/>
      <c r="X85" s="2068"/>
      <c r="Y85" s="2068"/>
      <c r="Z85" s="2068"/>
      <c r="AA85" s="2068"/>
      <c r="AB85" s="2068"/>
      <c r="AC85" s="2068"/>
    </row>
    <row r="86" spans="1:29" ht="15.75" thickTop="1">
      <c r="A86" s="669"/>
      <c r="B86" s="681">
        <f>B28</f>
        <v>111</v>
      </c>
      <c r="C86" s="661"/>
      <c r="D86" s="661"/>
      <c r="E86" s="661"/>
      <c r="F86" s="661"/>
      <c r="G86" s="722"/>
      <c r="H86" s="722"/>
      <c r="I86" s="722"/>
      <c r="J86" s="722"/>
      <c r="K86" s="723"/>
      <c r="L86" s="724"/>
      <c r="M86" s="725"/>
      <c r="N86" s="2062"/>
      <c r="O86" s="2062"/>
      <c r="P86" s="2063"/>
      <c r="Q86" s="2056"/>
      <c r="R86" s="2043"/>
      <c r="S86" s="2043"/>
      <c r="T86" s="2043"/>
      <c r="U86" s="2043"/>
      <c r="V86" s="2043"/>
      <c r="W86" s="2043"/>
      <c r="X86" s="2043"/>
      <c r="Y86" s="2043"/>
      <c r="Z86" s="2043"/>
      <c r="AA86" s="2043"/>
      <c r="AB86" s="2043"/>
      <c r="AC86" s="2043"/>
    </row>
    <row r="87" spans="1:29" ht="15.75" thickBot="1">
      <c r="A87" s="893"/>
      <c r="B87" s="699"/>
      <c r="C87" s="700"/>
      <c r="D87" s="700"/>
      <c r="E87" s="700"/>
      <c r="F87" s="700"/>
      <c r="G87" s="726"/>
      <c r="H87" s="726"/>
      <c r="I87" s="726"/>
      <c r="J87" s="726"/>
      <c r="K87" s="726"/>
      <c r="L87" s="726"/>
      <c r="M87" s="727"/>
      <c r="N87" s="2064"/>
      <c r="O87" s="2064"/>
      <c r="P87" s="2063"/>
      <c r="Q87" s="2056"/>
      <c r="R87" s="2043"/>
      <c r="S87" s="2043"/>
      <c r="T87" s="2043"/>
      <c r="U87" s="2043"/>
      <c r="V87" s="2043"/>
      <c r="W87" s="2043"/>
      <c r="X87" s="2043"/>
      <c r="Y87" s="2043"/>
      <c r="Z87" s="2043"/>
      <c r="AA87" s="2043"/>
      <c r="AB87" s="2043"/>
      <c r="AC87" s="2043"/>
    </row>
    <row r="88" spans="1:29">
      <c r="A88" s="664" t="s">
        <v>549</v>
      </c>
      <c r="B88" s="665" t="s">
        <v>745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060"/>
      <c r="O90" s="2060"/>
      <c r="P90" s="2063"/>
      <c r="Q90" s="2056"/>
      <c r="R90" s="2043"/>
      <c r="S90" s="2043"/>
      <c r="T90" s="2043"/>
      <c r="U90" s="2043"/>
      <c r="V90" s="2043"/>
      <c r="W90" s="2043"/>
      <c r="X90" s="2043"/>
      <c r="Y90" s="2043"/>
      <c r="Z90" s="2043"/>
      <c r="AA90" s="2043"/>
      <c r="AB90" s="2043"/>
      <c r="AC90" s="2043"/>
    </row>
    <row r="91" spans="1:29" s="1339" customFormat="1">
      <c r="A91" s="728"/>
      <c r="B91" s="729"/>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4"/>
      <c r="O92" s="2064"/>
      <c r="P92" s="2066"/>
      <c r="Q92" s="2067"/>
      <c r="R92" s="2068"/>
      <c r="S92" s="2068"/>
      <c r="T92" s="2068"/>
      <c r="U92" s="2068"/>
      <c r="V92" s="2068"/>
      <c r="W92" s="2068"/>
      <c r="X92" s="2068"/>
      <c r="Y92" s="2068"/>
      <c r="Z92" s="2068"/>
      <c r="AA92" s="2068"/>
      <c r="AB92" s="2068"/>
      <c r="AC92" s="2068"/>
    </row>
    <row r="93" spans="1:29" ht="15" thickTop="1">
      <c r="A93" s="735"/>
      <c r="B93" s="673" t="s">
        <v>747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749</v>
      </c>
      <c r="C95" s="688"/>
      <c r="D95" s="688"/>
      <c r="E95" s="688"/>
      <c r="F95" s="718"/>
      <c r="G95" s="718"/>
      <c r="H95" s="718"/>
      <c r="I95" s="718"/>
      <c r="J95" s="718"/>
      <c r="K95" s="719"/>
      <c r="L95" s="720"/>
      <c r="M95" s="721"/>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064"/>
      <c r="O96" s="2064"/>
      <c r="P96" s="2063"/>
      <c r="Q96" s="2056"/>
      <c r="R96" s="2043"/>
      <c r="S96" s="2043"/>
      <c r="T96" s="2043"/>
      <c r="U96" s="2043"/>
      <c r="V96" s="2043"/>
      <c r="W96" s="2043"/>
      <c r="X96" s="2043"/>
      <c r="Y96" s="2043"/>
      <c r="Z96" s="2043"/>
      <c r="AA96" s="2043"/>
      <c r="AB96" s="2043"/>
      <c r="AC96" s="2043"/>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062"/>
      <c r="O97" s="2062"/>
      <c r="P97" s="2063"/>
      <c r="Q97" s="2056"/>
      <c r="R97" s="2043"/>
      <c r="S97" s="2043"/>
      <c r="T97" s="2043"/>
      <c r="U97" s="2043"/>
      <c r="V97" s="2043"/>
      <c r="W97" s="2043"/>
      <c r="X97" s="2043"/>
      <c r="Y97" s="2043"/>
      <c r="Z97" s="2043"/>
      <c r="AA97" s="2043"/>
      <c r="AB97" s="2043"/>
      <c r="AC97" s="2043"/>
    </row>
    <row r="98" spans="1:29">
      <c r="A98" s="735"/>
      <c r="B98" s="681"/>
      <c r="C98" s="894">
        <v>0.5</v>
      </c>
      <c r="D98" s="894">
        <v>0.6</v>
      </c>
      <c r="E98" s="894">
        <v>0.7</v>
      </c>
      <c r="F98" s="894">
        <v>0.8</v>
      </c>
      <c r="G98" s="894">
        <v>0.9</v>
      </c>
      <c r="H98" s="894">
        <v>1.0001</v>
      </c>
      <c r="I98" s="905"/>
      <c r="J98" s="905"/>
      <c r="K98" s="906"/>
      <c r="L98" s="907"/>
      <c r="M98" s="908"/>
      <c r="N98" s="2062"/>
      <c r="O98" s="2062"/>
      <c r="P98" s="2063"/>
      <c r="Q98" s="2056"/>
      <c r="R98" s="2043"/>
      <c r="S98" s="2043"/>
      <c r="T98" s="2043"/>
      <c r="U98" s="2043"/>
      <c r="V98" s="2043"/>
      <c r="W98" s="2043"/>
      <c r="X98" s="2043"/>
      <c r="Y98" s="2043"/>
      <c r="Z98" s="2043"/>
      <c r="AA98" s="2043"/>
      <c r="AB98" s="2043"/>
      <c r="AC98" s="20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064"/>
      <c r="O99" s="2064"/>
      <c r="P99" s="2063"/>
      <c r="Q99" s="2056"/>
      <c r="R99" s="2043"/>
      <c r="S99" s="2043"/>
      <c r="T99" s="2043"/>
      <c r="U99" s="2043"/>
      <c r="V99" s="2043"/>
      <c r="W99" s="2043"/>
      <c r="X99" s="2043"/>
      <c r="Y99" s="2043"/>
      <c r="Z99" s="2043"/>
      <c r="AA99" s="2043"/>
      <c r="AB99" s="2043"/>
      <c r="AC99" s="2043"/>
    </row>
    <row r="100" spans="1:29" s="1339" customFormat="1" ht="15" thickTop="1">
      <c r="A100" s="728"/>
      <c r="B100" s="673" t="s">
        <v>751</v>
      </c>
      <c r="C100" s="688"/>
      <c r="D100" s="688"/>
      <c r="E100" s="688"/>
      <c r="F100" s="688"/>
      <c r="G100" s="688"/>
      <c r="H100" s="718"/>
      <c r="I100" s="718"/>
      <c r="J100" s="718"/>
      <c r="K100" s="719"/>
      <c r="L100" s="720"/>
      <c r="M100" s="721"/>
      <c r="N100" s="2065"/>
      <c r="O100" s="2065"/>
      <c r="P100" s="2066"/>
      <c r="Q100" s="2067"/>
      <c r="R100" s="2068"/>
      <c r="S100" s="2068"/>
      <c r="T100" s="2068"/>
      <c r="U100" s="2068"/>
      <c r="V100" s="2068"/>
      <c r="W100" s="2068"/>
      <c r="X100" s="2068"/>
      <c r="Y100" s="2068"/>
      <c r="Z100" s="2068"/>
      <c r="AA100" s="2068"/>
      <c r="AB100" s="2068"/>
      <c r="AC100" s="206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735"/>
      <c r="B102" s="1794" t="s">
        <v>2553</v>
      </c>
      <c r="C102" s="688"/>
      <c r="D102" s="688"/>
      <c r="E102" s="688"/>
      <c r="F102" s="688"/>
      <c r="G102" s="688"/>
      <c r="H102" s="718"/>
      <c r="I102" s="718"/>
      <c r="J102" s="718"/>
      <c r="K102" s="719"/>
      <c r="L102" s="720"/>
      <c r="M102" s="721"/>
      <c r="N102" s="2062"/>
      <c r="O102" s="2062"/>
      <c r="P102" s="2063"/>
      <c r="Q102" s="2056"/>
      <c r="R102" s="2043"/>
      <c r="S102" s="2043"/>
      <c r="T102" s="2043"/>
      <c r="U102" s="2043"/>
      <c r="V102" s="2043"/>
      <c r="W102" s="2043"/>
      <c r="X102" s="2043"/>
      <c r="Y102" s="2043"/>
      <c r="Z102" s="2043"/>
      <c r="AA102" s="2043"/>
      <c r="AB102" s="2043"/>
      <c r="AC102" s="20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735"/>
      <c r="B104" s="673" t="s">
        <v>753</v>
      </c>
      <c r="C104" s="688"/>
      <c r="D104" s="688"/>
      <c r="E104" s="688"/>
      <c r="F104" s="688"/>
      <c r="G104" s="688"/>
      <c r="H104" s="718"/>
      <c r="I104" s="718"/>
      <c r="J104" s="718"/>
      <c r="K104" s="719"/>
      <c r="L104" s="720"/>
      <c r="M104" s="721"/>
      <c r="N104" s="2062"/>
      <c r="O104" s="2062"/>
      <c r="P104" s="2063"/>
      <c r="Q104" s="2056"/>
      <c r="R104" s="2043"/>
      <c r="S104" s="2043"/>
      <c r="T104" s="2043"/>
      <c r="U104" s="2043"/>
      <c r="V104" s="2043"/>
      <c r="W104" s="2043"/>
      <c r="X104" s="2043"/>
      <c r="Y104" s="2043"/>
      <c r="Z104" s="2043"/>
      <c r="AA104" s="2043"/>
      <c r="AB104" s="2043"/>
      <c r="AC104" s="20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064"/>
      <c r="O105" s="2064"/>
      <c r="P105" s="2063"/>
      <c r="Q105" s="2056"/>
      <c r="R105" s="2043"/>
      <c r="S105" s="2043"/>
      <c r="T105" s="2043"/>
      <c r="U105" s="2043"/>
      <c r="V105" s="2043"/>
      <c r="W105" s="2043"/>
      <c r="X105" s="2043"/>
      <c r="Y105" s="2043"/>
      <c r="Z105" s="2043"/>
      <c r="AA105" s="2043"/>
      <c r="AB105" s="2043"/>
      <c r="AC105" s="2043"/>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064"/>
      <c r="O106" s="2064"/>
      <c r="P106" s="2103"/>
      <c r="Q106" s="2104"/>
      <c r="R106" s="2043"/>
      <c r="S106" s="2043"/>
      <c r="T106" s="2043"/>
      <c r="U106" s="2043"/>
      <c r="V106" s="2043"/>
      <c r="W106" s="2043"/>
      <c r="X106" s="2043"/>
      <c r="Y106" s="2043"/>
      <c r="Z106" s="2043"/>
      <c r="AA106" s="2043"/>
      <c r="AB106" s="2043"/>
      <c r="AC106" s="20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064"/>
      <c r="O107" s="2064"/>
      <c r="P107" s="2063"/>
      <c r="Q107" s="2056"/>
      <c r="R107" s="2043"/>
      <c r="S107" s="2043"/>
      <c r="T107" s="2043"/>
      <c r="U107" s="2043"/>
      <c r="V107" s="2043"/>
      <c r="W107" s="2043"/>
      <c r="X107" s="2043"/>
      <c r="Y107" s="2043"/>
      <c r="Z107" s="2043"/>
      <c r="AA107" s="2043"/>
      <c r="AB107" s="2043"/>
      <c r="AC107" s="2043"/>
    </row>
    <row r="108" spans="1:29" s="1339" customFormat="1" ht="15" thickTop="1">
      <c r="A108" s="728"/>
      <c r="B108" s="673">
        <f>B38</f>
        <v>111</v>
      </c>
      <c r="C108" s="688"/>
      <c r="D108" s="688"/>
      <c r="E108" s="688"/>
      <c r="F108" s="688"/>
      <c r="G108" s="688"/>
      <c r="H108" s="689"/>
      <c r="I108" s="689"/>
      <c r="J108" s="689"/>
      <c r="K108" s="689"/>
      <c r="L108" s="690"/>
      <c r="M108" s="691"/>
      <c r="N108" s="2065"/>
      <c r="O108" s="2065"/>
      <c r="P108" s="2066"/>
      <c r="Q108" s="2067"/>
      <c r="R108" s="2068"/>
      <c r="S108" s="2068"/>
      <c r="T108" s="2068"/>
      <c r="U108" s="2068"/>
      <c r="V108" s="2068"/>
      <c r="W108" s="2068"/>
      <c r="X108" s="2068"/>
      <c r="Y108" s="2068"/>
      <c r="Z108" s="2068"/>
      <c r="AA108" s="2068"/>
      <c r="AB108" s="2068"/>
      <c r="AC108" s="2068"/>
    </row>
    <row r="109" spans="1:29" s="1339" customFormat="1" ht="15.75" thickBot="1">
      <c r="A109" s="687"/>
      <c r="B109" s="670"/>
      <c r="C109" s="692"/>
      <c r="D109" s="671"/>
      <c r="E109" s="671"/>
      <c r="F109" s="671"/>
      <c r="G109" s="692"/>
      <c r="H109" s="693"/>
      <c r="I109" s="693"/>
      <c r="J109" s="693"/>
      <c r="K109" s="693"/>
      <c r="L109" s="693"/>
      <c r="M109" s="694"/>
      <c r="N109" s="2065"/>
      <c r="O109" s="2065"/>
      <c r="P109" s="2066"/>
      <c r="Q109" s="2067"/>
      <c r="R109" s="2068"/>
      <c r="S109" s="2068"/>
      <c r="T109" s="2068"/>
      <c r="U109" s="2068"/>
      <c r="V109" s="2068"/>
      <c r="W109" s="2068"/>
      <c r="X109" s="2068"/>
      <c r="Y109" s="2068"/>
      <c r="Z109" s="2068"/>
      <c r="AA109" s="2068"/>
      <c r="AB109" s="2068"/>
      <c r="AC109" s="2068"/>
    </row>
    <row r="110" spans="1:29" ht="15" thickTop="1">
      <c r="A110" s="735"/>
      <c r="B110" s="673">
        <f>B39</f>
        <v>111</v>
      </c>
      <c r="C110" s="688"/>
      <c r="D110" s="688"/>
      <c r="E110" s="688"/>
      <c r="F110" s="688"/>
      <c r="G110" s="688"/>
      <c r="H110" s="689"/>
      <c r="I110" s="689"/>
      <c r="J110" s="689"/>
      <c r="K110" s="689"/>
      <c r="L110" s="690"/>
      <c r="M110" s="69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92"/>
      <c r="D111" s="671"/>
      <c r="E111" s="671"/>
      <c r="F111" s="671"/>
      <c r="G111" s="692"/>
      <c r="H111" s="693"/>
      <c r="I111" s="693"/>
      <c r="J111" s="693"/>
      <c r="K111" s="693"/>
      <c r="L111" s="693"/>
      <c r="M111" s="694"/>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81">
        <f>B40</f>
        <v>111</v>
      </c>
      <c r="C112" s="661"/>
      <c r="D112" s="661"/>
      <c r="E112" s="661"/>
      <c r="F112" s="661"/>
      <c r="G112" s="722"/>
      <c r="H112" s="722"/>
      <c r="I112" s="722"/>
      <c r="J112" s="722"/>
      <c r="K112" s="661"/>
      <c r="L112" s="662"/>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893"/>
      <c r="B113" s="699"/>
      <c r="C113" s="700"/>
      <c r="D113" s="700"/>
      <c r="E113" s="700"/>
      <c r="F113" s="700"/>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746" t="s">
        <v>2074</v>
      </c>
      <c r="F3" s="851">
        <f>SUMIF('数据-取费表'!A5:A15,D1,'数据-取费表'!AH5:AH15)</f>
        <v>0</v>
      </c>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56" t="s">
        <v>796</v>
      </c>
      <c r="D4" s="3557"/>
      <c r="E4" s="3556" t="s">
        <v>797</v>
      </c>
      <c r="F4" s="3557"/>
      <c r="G4" s="3556" t="s">
        <v>798</v>
      </c>
      <c r="H4" s="3557"/>
      <c r="I4" s="3556" t="s">
        <v>799</v>
      </c>
      <c r="J4" s="3557"/>
      <c r="K4" s="514" t="s">
        <v>800</v>
      </c>
      <c r="L4" s="2031"/>
      <c r="M4" s="2032"/>
      <c r="N4" s="2032"/>
      <c r="O4" s="2032"/>
      <c r="P4" s="3558" t="s">
        <v>801</v>
      </c>
      <c r="Q4" s="3559"/>
      <c r="R4" s="3544" t="s">
        <v>797</v>
      </c>
      <c r="S4" s="3545"/>
      <c r="T4" s="3544" t="s">
        <v>798</v>
      </c>
      <c r="U4" s="3545"/>
      <c r="V4" s="3564" t="s">
        <v>799</v>
      </c>
      <c r="W4" s="3564"/>
      <c r="X4" s="1568"/>
      <c r="Y4" s="3544" t="s">
        <v>801</v>
      </c>
      <c r="Z4" s="3545"/>
      <c r="AA4" s="3539" t="s">
        <v>797</v>
      </c>
      <c r="AB4" s="3540" t="s">
        <v>798</v>
      </c>
      <c r="AC4" s="3539" t="s">
        <v>799</v>
      </c>
    </row>
    <row r="5" spans="1:29" ht="15">
      <c r="A5" s="515"/>
      <c r="B5" s="516"/>
      <c r="C5" s="3583" t="s">
        <v>2916</v>
      </c>
      <c r="D5" s="3568"/>
      <c r="E5" s="3583" t="s">
        <v>2917</v>
      </c>
      <c r="F5" s="3568"/>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40"/>
      <c r="AC5" s="3540"/>
    </row>
    <row r="6" spans="1:29" ht="15.75" thickBot="1">
      <c r="A6" s="517"/>
      <c r="B6" s="518"/>
      <c r="C6" s="3584" t="s">
        <v>2920</v>
      </c>
      <c r="D6" s="3585"/>
      <c r="E6" s="3662" t="s">
        <v>2920</v>
      </c>
      <c r="F6" s="3566"/>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41"/>
      <c r="AC6" s="3541"/>
    </row>
    <row r="7" spans="1:29" s="1220" customFormat="1" ht="15.75" thickBot="1">
      <c r="A7" s="2827"/>
      <c r="B7" s="2834" t="s">
        <v>527</v>
      </c>
      <c r="C7" s="519">
        <f>'数据-取费表'!B2</f>
        <v>43095</v>
      </c>
      <c r="D7" s="520">
        <v>100</v>
      </c>
      <c r="E7" s="521"/>
      <c r="F7" s="522">
        <f>SUMIF(48:48,YEAR(E7)&amp;"-"&amp;MONTH(E7),49:49)</f>
        <v>0</v>
      </c>
      <c r="G7" s="523"/>
      <c r="H7" s="520">
        <f>SUMIF(48:48,YEAR(G7)&amp;"-"&amp;MONTH(G7),49:49)</f>
        <v>0</v>
      </c>
      <c r="I7" s="523"/>
      <c r="J7" s="520">
        <f>SUMIF(48:48,YEAR(I7)&amp;"-"&amp;MONTH(I7),49:49)</f>
        <v>0</v>
      </c>
      <c r="K7" s="524"/>
      <c r="L7" s="2033"/>
      <c r="M7" s="2034"/>
      <c r="N7" s="2034"/>
      <c r="O7" s="2034"/>
      <c r="P7" s="3542" t="s">
        <v>528</v>
      </c>
      <c r="Q7" s="3551"/>
      <c r="R7" s="1569" t="s">
        <v>8</v>
      </c>
      <c r="S7" s="1570">
        <f t="shared" ref="S7:S14" si="0">F7</f>
        <v>0</v>
      </c>
      <c r="T7" s="1569" t="s">
        <v>8</v>
      </c>
      <c r="U7" s="1570">
        <f t="shared" ref="U7:U14" si="1">H7</f>
        <v>0</v>
      </c>
      <c r="V7" s="1569" t="s">
        <v>8</v>
      </c>
      <c r="W7" s="1570">
        <f t="shared" ref="W7:W14" si="2">J7</f>
        <v>0</v>
      </c>
      <c r="X7" s="1571"/>
      <c r="Y7" s="3542" t="s">
        <v>528</v>
      </c>
      <c r="Z7" s="3543"/>
      <c r="AA7" s="1572" t="e">
        <f>D7/F7</f>
        <v>#DIV/0!</v>
      </c>
      <c r="AB7" s="1572" t="e">
        <f>D7/H7</f>
        <v>#DIV/0!</v>
      </c>
      <c r="AC7" s="1572" t="e">
        <f>D7/J7</f>
        <v>#DIV/0!</v>
      </c>
    </row>
    <row r="8" spans="1:29" s="1220" customFormat="1" ht="15.75" thickBot="1">
      <c r="A8" s="2828"/>
      <c r="B8" s="2835" t="s">
        <v>529</v>
      </c>
      <c r="C8" s="525" t="s">
        <v>574</v>
      </c>
      <c r="D8" s="520">
        <v>100</v>
      </c>
      <c r="E8" s="525"/>
      <c r="F8" s="522">
        <f>SUMIF(51:51,E8,52:52)-SUMIF(51:51,C8,52:52)+100</f>
        <v>0</v>
      </c>
      <c r="G8" s="525"/>
      <c r="H8" s="520">
        <f>SUMIF(51:51,G8,52:52)-SUMIF(51:51,C8,52:52)+100</f>
        <v>0</v>
      </c>
      <c r="I8" s="525"/>
      <c r="J8" s="520">
        <f>SUMIF(51:51,I8,52:52)-SUMIF(51:51,C8,52:52)+100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36" si="3">D8/F8</f>
        <v>#DIV/0!</v>
      </c>
      <c r="AB8" s="1572" t="e">
        <f t="shared" ref="AB8:AB36" si="4">D8/H8</f>
        <v>#DIV/0!</v>
      </c>
      <c r="AC8" s="1572" t="e">
        <f t="shared" ref="AC8:AC36" si="5">D8/J8</f>
        <v>#DIV/0!</v>
      </c>
    </row>
    <row r="9" spans="1:29" s="1220" customFormat="1" ht="15">
      <c r="A9" s="2829"/>
      <c r="B9" s="2836" t="s">
        <v>2755</v>
      </c>
      <c r="C9" s="857"/>
      <c r="D9" s="254">
        <v>100</v>
      </c>
      <c r="E9" s="860"/>
      <c r="F9" s="254">
        <f>SUMIF(53:53,E9,54:54)-SUMIF(53:53,C9,54:54)+100</f>
        <v>100</v>
      </c>
      <c r="G9" s="858"/>
      <c r="H9" s="254">
        <f>SUMIF(53:53,G9,54:54)-SUMIF(53:53,C9,54:54)+100</f>
        <v>100</v>
      </c>
      <c r="I9" s="858"/>
      <c r="J9" s="254">
        <f>SUMIF(53:53,I9,54:54)-SUMIF(53:53,C9,54:54)+100</f>
        <v>100</v>
      </c>
      <c r="K9" s="524"/>
      <c r="L9" s="2033"/>
      <c r="M9" s="2034"/>
      <c r="N9" s="2034"/>
      <c r="O9" s="2035"/>
      <c r="P9" s="3550" t="s">
        <v>533</v>
      </c>
      <c r="Q9" s="1151" t="str">
        <f t="shared" ref="Q9:Q14" si="6">B9</f>
        <v>用途</v>
      </c>
      <c r="R9" s="1569" t="s">
        <v>8</v>
      </c>
      <c r="S9" s="1570">
        <f t="shared" si="0"/>
        <v>100</v>
      </c>
      <c r="T9" s="1569" t="s">
        <v>8</v>
      </c>
      <c r="U9" s="1570">
        <f t="shared" si="1"/>
        <v>100</v>
      </c>
      <c r="V9" s="1569" t="s">
        <v>8</v>
      </c>
      <c r="W9" s="1570">
        <f t="shared" si="2"/>
        <v>100</v>
      </c>
      <c r="X9" s="1571"/>
      <c r="Y9" s="3507"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SUMIF(55:55,E10,56:56)-SUMIF(55:55,C10,56:56)+100</f>
        <v>100</v>
      </c>
      <c r="G10" s="862"/>
      <c r="H10" s="255">
        <f>SUMIF(55:55,G10,56:56)-SUMIF(55:55,C10,56:56)+100</f>
        <v>100</v>
      </c>
      <c r="I10" s="861"/>
      <c r="J10" s="255">
        <f>SUMIF(55:55,I10,56:56)-SUMIF(55:55,C10,56:56)+100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2"/>
      <c r="B11" s="2838">
        <v>111</v>
      </c>
      <c r="C11" s="528"/>
      <c r="D11" s="255">
        <v>100</v>
      </c>
      <c r="E11" s="528"/>
      <c r="F11" s="255">
        <f>SUMIF(57:57,E11,58:58)-SUMIF(57:57,C11,58:58)+100</f>
        <v>100</v>
      </c>
      <c r="G11" s="528"/>
      <c r="H11" s="255">
        <f>SUMIF(57:57,G11,58:58)-SUMIF(57:57,C11,58:58)+100</f>
        <v>100</v>
      </c>
      <c r="I11" s="528"/>
      <c r="J11" s="255">
        <f>SUMIF(57:57,I11,58:58)-SUMIF(57:57,C11,58:58)+100</f>
        <v>100</v>
      </c>
      <c r="K11" s="581"/>
      <c r="L11" s="2038"/>
      <c r="M11" s="2032"/>
      <c r="N11" s="2032"/>
      <c r="O11" s="2039"/>
      <c r="P11" s="3550"/>
      <c r="Q11" s="1151">
        <f t="shared" si="6"/>
        <v>111</v>
      </c>
      <c r="R11" s="1569" t="s">
        <v>8</v>
      </c>
      <c r="S11" s="1570">
        <f t="shared" si="0"/>
        <v>100</v>
      </c>
      <c r="T11" s="1569" t="s">
        <v>8</v>
      </c>
      <c r="U11" s="1570">
        <f t="shared" si="1"/>
        <v>100</v>
      </c>
      <c r="V11" s="1569" t="s">
        <v>8</v>
      </c>
      <c r="W11" s="1570">
        <f t="shared" si="2"/>
        <v>100</v>
      </c>
      <c r="X11" s="1571"/>
      <c r="Y11" s="3507"/>
      <c r="Z11" s="1150">
        <f t="shared" si="7"/>
        <v>111</v>
      </c>
      <c r="AA11" s="1572">
        <f t="shared" si="3"/>
        <v>1</v>
      </c>
      <c r="AB11" s="1572">
        <f t="shared" si="4"/>
        <v>1</v>
      </c>
      <c r="AC11" s="1572">
        <f t="shared" si="5"/>
        <v>1</v>
      </c>
    </row>
    <row r="12" spans="1:29" s="1220" customFormat="1" ht="15">
      <c r="A12" s="2832"/>
      <c r="B12" s="2838">
        <v>111</v>
      </c>
      <c r="C12" s="528"/>
      <c r="D12" s="538">
        <v>100</v>
      </c>
      <c r="E12" s="528"/>
      <c r="F12" s="255">
        <f>SUMIF(59:59,E12,60:60)-SUMIF(59:59,C12,60:60)+100</f>
        <v>100</v>
      </c>
      <c r="G12" s="528"/>
      <c r="H12" s="255">
        <f>SUMIF(59:59,G12,60:60)-SUMIF(59:59,C12,60:60)+100</f>
        <v>100</v>
      </c>
      <c r="I12" s="528"/>
      <c r="J12" s="255">
        <f>SUMIF(59:59,I12,60:60)-SUMIF(59:59,C12,60:60)+100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75" thickBot="1">
      <c r="A13" s="2833"/>
      <c r="B13" s="2839">
        <v>111</v>
      </c>
      <c r="C13" s="539"/>
      <c r="D13" s="540">
        <v>100</v>
      </c>
      <c r="E13" s="528"/>
      <c r="F13" s="255">
        <f>SUMIF(61:61,E13,62:62)-SUMIF(61:61,C13,62:62)+100</f>
        <v>100</v>
      </c>
      <c r="G13" s="528"/>
      <c r="H13" s="540">
        <f>SUMIF(61:61,G13,62:62)-SUMIF(61:61,C13,62:62)+100</f>
        <v>100</v>
      </c>
      <c r="I13" s="528"/>
      <c r="J13" s="540">
        <f>SUMIF(61:61,I13,62:62)-SUMIF(61:61,C13,62:62)+100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
      <c r="A14" s="2825" t="s">
        <v>2753</v>
      </c>
      <c r="B14" s="547" t="s">
        <v>541</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040"/>
      <c r="M14" s="2032"/>
      <c r="N14" s="2032"/>
      <c r="O14" s="2039"/>
      <c r="P14" s="3552" t="s">
        <v>538</v>
      </c>
      <c r="Q14" s="1573" t="str">
        <f t="shared" si="6"/>
        <v>交通便捷度</v>
      </c>
      <c r="R14" s="1574" t="s">
        <v>8</v>
      </c>
      <c r="S14" s="1575">
        <f t="shared" si="0"/>
        <v>100</v>
      </c>
      <c r="T14" s="1574" t="s">
        <v>8</v>
      </c>
      <c r="U14" s="1575">
        <f t="shared" si="1"/>
        <v>100</v>
      </c>
      <c r="V14" s="1574" t="s">
        <v>8</v>
      </c>
      <c r="W14" s="1575">
        <f t="shared" si="2"/>
        <v>100</v>
      </c>
      <c r="X14" s="1568"/>
      <c r="Y14" s="3552"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040"/>
      <c r="M15" s="2032"/>
      <c r="N15" s="2032"/>
      <c r="O15" s="2039"/>
      <c r="P15" s="3553"/>
      <c r="Q15" s="1573"/>
      <c r="R15" s="1574"/>
      <c r="S15" s="1575"/>
      <c r="T15" s="1574"/>
      <c r="U15" s="1575"/>
      <c r="V15" s="1574"/>
      <c r="W15" s="1575"/>
      <c r="X15" s="1568"/>
      <c r="Y15" s="3553"/>
      <c r="Z15" s="1576"/>
      <c r="AA15" s="1577">
        <v>1</v>
      </c>
      <c r="AB15" s="1577">
        <v>1</v>
      </c>
      <c r="AC15" s="1577">
        <v>1</v>
      </c>
    </row>
    <row r="16" spans="1:29" ht="15">
      <c r="A16" s="515"/>
      <c r="B16" s="2522" t="s">
        <v>2543</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040"/>
      <c r="M16" s="2032"/>
      <c r="N16" s="2032"/>
      <c r="O16" s="2039"/>
      <c r="P16" s="3553"/>
      <c r="Q16" s="1573" t="str">
        <f>B16</f>
        <v>公共配套设施</v>
      </c>
      <c r="R16" s="1574" t="s">
        <v>8</v>
      </c>
      <c r="S16" s="1575">
        <f>F16</f>
        <v>100</v>
      </c>
      <c r="T16" s="1574" t="s">
        <v>8</v>
      </c>
      <c r="U16" s="1575">
        <f>H16</f>
        <v>100</v>
      </c>
      <c r="V16" s="1574" t="s">
        <v>8</v>
      </c>
      <c r="W16" s="1575">
        <f>J16</f>
        <v>100</v>
      </c>
      <c r="X16" s="1568"/>
      <c r="Y16" s="355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040"/>
      <c r="M17" s="2032"/>
      <c r="N17" s="2032"/>
      <c r="O17" s="2039"/>
      <c r="P17" s="3553"/>
      <c r="Q17" s="1573"/>
      <c r="R17" s="1574"/>
      <c r="S17" s="1575"/>
      <c r="T17" s="1574"/>
      <c r="U17" s="1575"/>
      <c r="V17" s="1574"/>
      <c r="W17" s="1575"/>
      <c r="X17" s="1568"/>
      <c r="Y17" s="3553"/>
      <c r="Z17" s="1576"/>
      <c r="AA17" s="1577">
        <v>1</v>
      </c>
      <c r="AB17" s="1577">
        <v>1</v>
      </c>
      <c r="AC17" s="1577">
        <v>1</v>
      </c>
    </row>
    <row r="18" spans="1:29" ht="15">
      <c r="A18" s="515"/>
      <c r="B18" s="2510" t="s">
        <v>2555</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040"/>
      <c r="M18" s="2032"/>
      <c r="N18" s="2032"/>
      <c r="O18" s="2039"/>
      <c r="P18" s="3553"/>
      <c r="Q18" s="2498" t="str">
        <f>B18</f>
        <v>基础设施水平</v>
      </c>
      <c r="R18" s="1574" t="s">
        <v>8</v>
      </c>
      <c r="S18" s="1575">
        <f>F18</f>
        <v>100</v>
      </c>
      <c r="T18" s="1574" t="s">
        <v>8</v>
      </c>
      <c r="U18" s="1575">
        <f>H18</f>
        <v>100</v>
      </c>
      <c r="V18" s="1574" t="s">
        <v>8</v>
      </c>
      <c r="W18" s="1575">
        <f>J18</f>
        <v>100</v>
      </c>
      <c r="X18" s="2500"/>
      <c r="Y18" s="3553"/>
      <c r="Z18" s="249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21"/>
      <c r="L19" s="2040"/>
      <c r="M19" s="2032"/>
      <c r="N19" s="2032"/>
      <c r="O19" s="2039"/>
      <c r="P19" s="3553"/>
      <c r="Q19" s="2498"/>
      <c r="R19" s="1574"/>
      <c r="S19" s="1575"/>
      <c r="T19" s="1574"/>
      <c r="U19" s="1575"/>
      <c r="V19" s="1574"/>
      <c r="W19" s="1575"/>
      <c r="X19" s="2500"/>
      <c r="Y19" s="3553"/>
      <c r="Z19" s="2499"/>
      <c r="AA19" s="1577">
        <v>1</v>
      </c>
      <c r="AB19" s="1577">
        <v>1</v>
      </c>
      <c r="AC19" s="1577">
        <v>1</v>
      </c>
    </row>
    <row r="20" spans="1:29" ht="15">
      <c r="A20" s="515"/>
      <c r="B20" s="560" t="s">
        <v>802</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040"/>
      <c r="M20" s="2032"/>
      <c r="N20" s="2032"/>
      <c r="O20" s="2039"/>
      <c r="P20" s="3553"/>
      <c r="Q20" s="1573" t="str">
        <f>B20</f>
        <v>自然及人文环境</v>
      </c>
      <c r="R20" s="1574" t="s">
        <v>8</v>
      </c>
      <c r="S20" s="1575">
        <f>F20</f>
        <v>100</v>
      </c>
      <c r="T20" s="1574" t="s">
        <v>8</v>
      </c>
      <c r="U20" s="1575">
        <f>H20</f>
        <v>100</v>
      </c>
      <c r="V20" s="1574" t="s">
        <v>8</v>
      </c>
      <c r="W20" s="1575">
        <f>J20</f>
        <v>100</v>
      </c>
      <c r="X20" s="1568"/>
      <c r="Y20" s="355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040"/>
      <c r="M21" s="2032"/>
      <c r="N21" s="2032"/>
      <c r="O21" s="2039"/>
      <c r="P21" s="3553"/>
      <c r="Q21" s="1573"/>
      <c r="R21" s="1574"/>
      <c r="S21" s="1575"/>
      <c r="T21" s="1574"/>
      <c r="U21" s="1575"/>
      <c r="V21" s="1574"/>
      <c r="W21" s="1575"/>
      <c r="X21" s="1568"/>
      <c r="Y21" s="3553"/>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040"/>
      <c r="M22" s="2032"/>
      <c r="N22" s="2032"/>
      <c r="O22" s="2039"/>
      <c r="P22" s="3553"/>
      <c r="Q22" s="1573" t="str">
        <f>B22</f>
        <v>楼层</v>
      </c>
      <c r="R22" s="1574" t="s">
        <v>8</v>
      </c>
      <c r="S22" s="1575">
        <f>F22</f>
        <v>100</v>
      </c>
      <c r="T22" s="1574" t="s">
        <v>8</v>
      </c>
      <c r="U22" s="1575">
        <f>H22</f>
        <v>100</v>
      </c>
      <c r="V22" s="1574" t="s">
        <v>8</v>
      </c>
      <c r="W22" s="1575">
        <f>J22</f>
        <v>100</v>
      </c>
      <c r="X22" s="1568"/>
      <c r="Y22" s="355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040"/>
      <c r="M23" s="2032"/>
      <c r="N23" s="2032"/>
      <c r="O23" s="2039"/>
      <c r="P23" s="3553"/>
      <c r="Q23" s="1573">
        <f>B23</f>
        <v>111</v>
      </c>
      <c r="R23" s="1574" t="s">
        <v>8</v>
      </c>
      <c r="S23" s="1575">
        <f>F23</f>
        <v>100</v>
      </c>
      <c r="T23" s="1574" t="s">
        <v>8</v>
      </c>
      <c r="U23" s="1575">
        <f>H23</f>
        <v>100</v>
      </c>
      <c r="V23" s="1574" t="s">
        <v>8</v>
      </c>
      <c r="W23" s="1575">
        <f>J23</f>
        <v>100</v>
      </c>
      <c r="X23" s="1568"/>
      <c r="Y23" s="355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040"/>
      <c r="M24" s="2032"/>
      <c r="N24" s="2032"/>
      <c r="O24" s="2039"/>
      <c r="P24" s="3553"/>
      <c r="Q24" s="1573">
        <f t="shared" ref="Q24:Q36" si="11">B24</f>
        <v>111</v>
      </c>
      <c r="R24" s="1574" t="s">
        <v>8</v>
      </c>
      <c r="S24" s="1575">
        <f>F24</f>
        <v>100</v>
      </c>
      <c r="T24" s="1574" t="s">
        <v>8</v>
      </c>
      <c r="U24" s="1575">
        <f>H24</f>
        <v>100</v>
      </c>
      <c r="V24" s="1574" t="s">
        <v>8</v>
      </c>
      <c r="W24" s="1575">
        <f>J24</f>
        <v>100</v>
      </c>
      <c r="X24" s="1568"/>
      <c r="Y24" s="355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033"/>
      <c r="M25" s="2034"/>
      <c r="N25" s="2034"/>
      <c r="O25" s="2035"/>
      <c r="P25" s="3553"/>
      <c r="Q25" s="1151">
        <f t="shared" si="11"/>
        <v>111</v>
      </c>
      <c r="R25" s="1569" t="s">
        <v>8</v>
      </c>
      <c r="S25" s="1570">
        <f>F25</f>
        <v>100</v>
      </c>
      <c r="T25" s="1569" t="s">
        <v>8</v>
      </c>
      <c r="U25" s="1570">
        <f>H25</f>
        <v>100</v>
      </c>
      <c r="V25" s="1569" t="s">
        <v>8</v>
      </c>
      <c r="W25" s="1570">
        <f>J25</f>
        <v>100</v>
      </c>
      <c r="X25" s="1571"/>
      <c r="Y25" s="3553"/>
      <c r="Z25" s="1150">
        <f>Q25</f>
        <v>111</v>
      </c>
      <c r="AA25" s="1577">
        <f>D25/F25</f>
        <v>1</v>
      </c>
      <c r="AB25" s="1577">
        <f>D25/H25</f>
        <v>1</v>
      </c>
      <c r="AC25" s="1577">
        <f>D25/J25</f>
        <v>1</v>
      </c>
    </row>
    <row r="26" spans="1:29" ht="15">
      <c r="A26" s="2822"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040"/>
      <c r="M26" s="2032"/>
      <c r="N26" s="2032"/>
      <c r="O26" s="2039"/>
      <c r="P26" s="3554"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55"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038"/>
      <c r="M27" s="2069"/>
      <c r="N27" s="2069"/>
      <c r="O27" s="2041"/>
      <c r="P27" s="3555"/>
      <c r="Q27" s="1606" t="str">
        <f t="shared" si="11"/>
        <v>项目停车位配比</v>
      </c>
      <c r="R27" s="1578" t="s">
        <v>8</v>
      </c>
      <c r="S27" s="1579">
        <f t="shared" si="12"/>
        <v>100</v>
      </c>
      <c r="T27" s="1578" t="s">
        <v>8</v>
      </c>
      <c r="U27" s="1579">
        <f t="shared" si="13"/>
        <v>100</v>
      </c>
      <c r="V27" s="1578" t="s">
        <v>8</v>
      </c>
      <c r="W27" s="1579">
        <f t="shared" si="14"/>
        <v>100</v>
      </c>
      <c r="X27" s="1580"/>
      <c r="Y27" s="3555"/>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040"/>
      <c r="M28" s="2032"/>
      <c r="N28" s="2032"/>
      <c r="O28" s="2039"/>
      <c r="P28" s="3555"/>
      <c r="Q28" s="1573" t="str">
        <f t="shared" si="11"/>
        <v>公共部分装修</v>
      </c>
      <c r="R28" s="1574" t="s">
        <v>8</v>
      </c>
      <c r="S28" s="1575">
        <f t="shared" si="12"/>
        <v>100</v>
      </c>
      <c r="T28" s="1574" t="s">
        <v>8</v>
      </c>
      <c r="U28" s="1575">
        <f t="shared" si="13"/>
        <v>100</v>
      </c>
      <c r="V28" s="1574" t="s">
        <v>8</v>
      </c>
      <c r="W28" s="1575">
        <f t="shared" si="14"/>
        <v>100</v>
      </c>
      <c r="X28" s="1568"/>
      <c r="Y28" s="3555"/>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040"/>
      <c r="M29" s="2032"/>
      <c r="N29" s="2032"/>
      <c r="O29" s="2039"/>
      <c r="P29" s="3555"/>
      <c r="Q29" s="1573" t="str">
        <f t="shared" si="11"/>
        <v>成新率</v>
      </c>
      <c r="R29" s="1574" t="s">
        <v>8</v>
      </c>
      <c r="S29" s="1575" t="e">
        <f t="shared" si="12"/>
        <v>#N/A</v>
      </c>
      <c r="T29" s="1574" t="s">
        <v>8</v>
      </c>
      <c r="U29" s="1575" t="e">
        <f t="shared" si="13"/>
        <v>#N/A</v>
      </c>
      <c r="V29" s="1574" t="s">
        <v>8</v>
      </c>
      <c r="W29" s="1575" t="e">
        <f t="shared" si="14"/>
        <v>#N/A</v>
      </c>
      <c r="X29" s="1568"/>
      <c r="Y29" s="3555"/>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040"/>
      <c r="M30" s="2032"/>
      <c r="N30" s="2032"/>
      <c r="O30" s="2039"/>
      <c r="P30" s="3555"/>
      <c r="Q30" s="1573" t="str">
        <f t="shared" si="11"/>
        <v>物业等级</v>
      </c>
      <c r="R30" s="1574" t="s">
        <v>8</v>
      </c>
      <c r="S30" s="1575">
        <f t="shared" si="12"/>
        <v>100</v>
      </c>
      <c r="T30" s="1574" t="s">
        <v>8</v>
      </c>
      <c r="U30" s="1575">
        <f t="shared" si="13"/>
        <v>100</v>
      </c>
      <c r="V30" s="1574" t="s">
        <v>8</v>
      </c>
      <c r="W30" s="1575">
        <f t="shared" si="14"/>
        <v>100</v>
      </c>
      <c r="X30" s="1568"/>
      <c r="Y30" s="3555"/>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033"/>
      <c r="M31" s="2034"/>
      <c r="N31" s="2034"/>
      <c r="O31" s="2035"/>
      <c r="P31" s="3555"/>
      <c r="Q31" s="1151" t="str">
        <f t="shared" si="11"/>
        <v>停车位面积</v>
      </c>
      <c r="R31" s="1569" t="s">
        <v>8</v>
      </c>
      <c r="S31" s="1570" t="e">
        <f t="shared" si="12"/>
        <v>#N/A</v>
      </c>
      <c r="T31" s="1569" t="s">
        <v>8</v>
      </c>
      <c r="U31" s="1570" t="e">
        <f t="shared" si="13"/>
        <v>#N/A</v>
      </c>
      <c r="V31" s="1569" t="s">
        <v>8</v>
      </c>
      <c r="W31" s="1570" t="e">
        <f t="shared" si="14"/>
        <v>#N/A</v>
      </c>
      <c r="X31" s="1571"/>
      <c r="Y31" s="3555"/>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040"/>
      <c r="M32" s="2032"/>
      <c r="N32" s="2032"/>
      <c r="O32" s="2039"/>
      <c r="P32" s="3555" t="s">
        <v>548</v>
      </c>
      <c r="Q32" s="1573" t="str">
        <f t="shared" si="11"/>
        <v>车位类型</v>
      </c>
      <c r="R32" s="1574" t="s">
        <v>8</v>
      </c>
      <c r="S32" s="1575">
        <f t="shared" si="12"/>
        <v>100</v>
      </c>
      <c r="T32" s="1574" t="s">
        <v>8</v>
      </c>
      <c r="U32" s="1575">
        <f t="shared" si="13"/>
        <v>100</v>
      </c>
      <c r="V32" s="1574" t="s">
        <v>8</v>
      </c>
      <c r="W32" s="1575">
        <f t="shared" si="14"/>
        <v>100</v>
      </c>
      <c r="X32" s="1568"/>
      <c r="Y32" s="3555"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040"/>
      <c r="M33" s="2032"/>
      <c r="N33" s="2032"/>
      <c r="O33" s="2039"/>
      <c r="P33" s="3555"/>
      <c r="Q33" s="1573" t="str">
        <f t="shared" si="11"/>
        <v>是否直接入户</v>
      </c>
      <c r="R33" s="1574" t="s">
        <v>8</v>
      </c>
      <c r="S33" s="1575">
        <f t="shared" si="12"/>
        <v>100</v>
      </c>
      <c r="T33" s="1574" t="s">
        <v>8</v>
      </c>
      <c r="U33" s="1575">
        <f t="shared" si="13"/>
        <v>100</v>
      </c>
      <c r="V33" s="1574" t="s">
        <v>8</v>
      </c>
      <c r="W33" s="1575">
        <f t="shared" si="14"/>
        <v>100</v>
      </c>
      <c r="X33" s="1568"/>
      <c r="Y33" s="355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040"/>
      <c r="M34" s="2032"/>
      <c r="N34" s="2032"/>
      <c r="O34" s="2039"/>
      <c r="P34" s="3555"/>
      <c r="Q34" s="1573">
        <f t="shared" si="11"/>
        <v>111</v>
      </c>
      <c r="R34" s="1574" t="s">
        <v>8</v>
      </c>
      <c r="S34" s="1575">
        <f t="shared" si="12"/>
        <v>100</v>
      </c>
      <c r="T34" s="1574" t="s">
        <v>8</v>
      </c>
      <c r="U34" s="1575">
        <f t="shared" si="13"/>
        <v>100</v>
      </c>
      <c r="V34" s="1574" t="s">
        <v>8</v>
      </c>
      <c r="W34" s="1575">
        <f t="shared" si="14"/>
        <v>100</v>
      </c>
      <c r="X34" s="1568"/>
      <c r="Y34" s="355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038"/>
      <c r="M35" s="2069"/>
      <c r="N35" s="2069"/>
      <c r="O35" s="2041"/>
      <c r="P35" s="3555"/>
      <c r="Q35" s="1606">
        <f t="shared" si="11"/>
        <v>111</v>
      </c>
      <c r="R35" s="1578" t="s">
        <v>8</v>
      </c>
      <c r="S35" s="1579">
        <f t="shared" si="12"/>
        <v>100</v>
      </c>
      <c r="T35" s="1578" t="s">
        <v>8</v>
      </c>
      <c r="U35" s="1579">
        <f t="shared" si="13"/>
        <v>100</v>
      </c>
      <c r="V35" s="1578" t="s">
        <v>8</v>
      </c>
      <c r="W35" s="1579">
        <f t="shared" si="14"/>
        <v>100</v>
      </c>
      <c r="X35" s="1580"/>
      <c r="Y35" s="355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040"/>
      <c r="M36" s="2032"/>
      <c r="N36" s="2032"/>
      <c r="O36" s="2039"/>
      <c r="P36" s="3555"/>
      <c r="Q36" s="1573">
        <f t="shared" si="11"/>
        <v>111</v>
      </c>
      <c r="R36" s="1574" t="s">
        <v>8</v>
      </c>
      <c r="S36" s="1575">
        <f t="shared" si="12"/>
        <v>100</v>
      </c>
      <c r="T36" s="1574" t="s">
        <v>8</v>
      </c>
      <c r="U36" s="1575">
        <f t="shared" si="13"/>
        <v>100</v>
      </c>
      <c r="V36" s="1574" t="s">
        <v>8</v>
      </c>
      <c r="W36" s="1575">
        <f t="shared" si="14"/>
        <v>100</v>
      </c>
      <c r="X36" s="1568"/>
      <c r="Y36" s="3555"/>
      <c r="Z36" s="1576">
        <f t="shared" si="15"/>
        <v>111</v>
      </c>
      <c r="AA36" s="1577">
        <f t="shared" si="3"/>
        <v>1</v>
      </c>
      <c r="AB36" s="1577">
        <f t="shared" si="4"/>
        <v>1</v>
      </c>
      <c r="AC36" s="1577">
        <f t="shared" si="5"/>
        <v>1</v>
      </c>
    </row>
    <row r="37" spans="1:29" ht="15">
      <c r="A37" s="1744" t="s">
        <v>2075</v>
      </c>
      <c r="B37" s="1745" t="s">
        <v>2076</v>
      </c>
      <c r="C37" s="2546" t="s">
        <v>1</v>
      </c>
      <c r="D37" s="2547"/>
      <c r="E37" s="2548"/>
      <c r="F37" s="2549"/>
      <c r="G37" s="2550"/>
      <c r="H37" s="2551"/>
      <c r="I37" s="2548"/>
      <c r="J37" s="2551"/>
      <c r="K37" s="1612"/>
      <c r="L37" s="2042"/>
      <c r="M37" s="2043"/>
      <c r="N37" s="2032"/>
      <c r="O37" s="2043"/>
      <c r="P37" s="3550" t="str">
        <f>A37</f>
        <v>成交单价</v>
      </c>
      <c r="Q37" s="3550"/>
      <c r="R37" s="3656">
        <f>E37</f>
        <v>0</v>
      </c>
      <c r="S37" s="3656"/>
      <c r="T37" s="3656">
        <f>G37</f>
        <v>0</v>
      </c>
      <c r="U37" s="3656"/>
      <c r="V37" s="3656">
        <f>I37</f>
        <v>0</v>
      </c>
      <c r="W37" s="3656"/>
      <c r="X37" s="1560"/>
      <c r="Y37" s="1582"/>
      <c r="Z37" s="1560"/>
      <c r="AA37" s="1560"/>
      <c r="AB37" s="1560"/>
      <c r="AC37" s="1560"/>
    </row>
    <row r="38" spans="1:29" ht="15.75" thickBot="1">
      <c r="A38" s="615" t="s">
        <v>2759</v>
      </c>
      <c r="B38" s="888"/>
      <c r="C38" s="2552" t="e">
        <f>R39</f>
        <v>#DIV/0!</v>
      </c>
      <c r="D38" s="2553"/>
      <c r="E38" s="2554" t="e">
        <f>R38</f>
        <v>#DIV/0!</v>
      </c>
      <c r="F38" s="2554"/>
      <c r="G38" s="2552" t="e">
        <f>T38</f>
        <v>#DIV/0!</v>
      </c>
      <c r="H38" s="2553"/>
      <c r="I38" s="2554" t="e">
        <f>V38</f>
        <v>#DIV/0!</v>
      </c>
      <c r="J38" s="2553"/>
      <c r="K38" s="1613"/>
      <c r="L38" s="2042"/>
      <c r="M38" s="2043"/>
      <c r="N38" s="2043"/>
      <c r="O38" s="2043"/>
      <c r="P38" s="3550" t="str">
        <f>A38</f>
        <v>比较价格（元/平方米）</v>
      </c>
      <c r="Q38" s="3550"/>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560"/>
      <c r="Y38" s="1560"/>
      <c r="Z38" s="1560"/>
      <c r="AA38" s="1560"/>
      <c r="AB38" s="1560"/>
      <c r="AC38" s="1560"/>
    </row>
    <row r="39" spans="1:29" ht="15.75" thickBot="1">
      <c r="A39" s="621" t="s">
        <v>2922</v>
      </c>
      <c r="B39" s="622"/>
      <c r="C39" s="2555" t="e">
        <f>R39</f>
        <v>#DIV/0!</v>
      </c>
      <c r="D39" s="2555"/>
      <c r="E39" s="2555"/>
      <c r="F39" s="2555"/>
      <c r="G39" s="2555"/>
      <c r="H39" s="2555"/>
      <c r="I39" s="2555"/>
      <c r="J39" s="2555"/>
      <c r="K39" s="1614"/>
      <c r="L39" s="2042"/>
      <c r="M39" s="2043"/>
      <c r="N39" s="2043"/>
      <c r="O39" s="2043"/>
      <c r="P39" s="3570" t="str">
        <f>A39</f>
        <v>估价对象XX用房的比较价格（楼面单价，元/平方米）</v>
      </c>
      <c r="Q39" s="3571"/>
      <c r="R39" s="3655" t="e">
        <f>IF(F1="售价",ROUND(AVERAGE(R38:V38),0),ROUND(AVERAGE(R38:V38),1))</f>
        <v>#DIV/0!</v>
      </c>
      <c r="S39" s="3655"/>
      <c r="T39" s="3655"/>
      <c r="U39" s="3655"/>
      <c r="V39" s="3655"/>
      <c r="W39" s="3655"/>
      <c r="X39" s="1560"/>
      <c r="Y39" s="1560"/>
      <c r="Z39" s="1560"/>
      <c r="AA39" s="1560"/>
      <c r="AB39" s="1560"/>
      <c r="AC39" s="1560"/>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047"/>
      <c r="L43" s="2048"/>
      <c r="M43" s="2043"/>
      <c r="N43" s="2043"/>
      <c r="O43" s="2043"/>
      <c r="P43" s="2043"/>
      <c r="Q43" s="2043"/>
      <c r="R43" s="2043"/>
      <c r="S43" s="2043"/>
      <c r="T43" s="2043"/>
      <c r="U43" s="2043"/>
      <c r="V43" s="2043"/>
      <c r="W43" s="2043"/>
      <c r="X43" s="2043"/>
      <c r="Y43" s="2043"/>
      <c r="Z43" s="2043"/>
      <c r="AA43" s="2043"/>
      <c r="AB43" s="2043"/>
      <c r="AC43" s="2043"/>
    </row>
    <row r="44" spans="1:29" s="1345" customFormat="1" ht="13.5" customHeight="1">
      <c r="A44" s="2044"/>
      <c r="B44" s="2044"/>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050"/>
      <c r="L44" s="2051"/>
      <c r="M44" s="2044"/>
      <c r="N44" s="2044"/>
      <c r="O44" s="2044"/>
      <c r="P44" s="2044"/>
      <c r="Q44" s="2044"/>
      <c r="R44" s="2044"/>
      <c r="S44" s="2044"/>
      <c r="T44" s="2044"/>
      <c r="U44" s="2044"/>
      <c r="V44" s="2044"/>
      <c r="W44" s="2044"/>
      <c r="X44" s="2044"/>
      <c r="Y44" s="2044"/>
      <c r="Z44" s="2044"/>
      <c r="AA44" s="2044"/>
      <c r="AB44" s="2044"/>
      <c r="AC44" s="2044"/>
    </row>
    <row r="45" spans="1:29" s="13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585" t="s">
        <v>572</v>
      </c>
      <c r="B47" s="1560"/>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347" customFormat="1" ht="15">
      <c r="A48" s="645" t="s">
        <v>527</v>
      </c>
      <c r="B48" s="646"/>
      <c r="C48" s="2717" t="str">
        <f>YEAR(C7)&amp;"-"&amp;MONTH(C7)</f>
        <v>2017-12</v>
      </c>
      <c r="D48" s="2719">
        <f>EDATE(C48,-1)</f>
        <v>43040</v>
      </c>
      <c r="E48" s="2719">
        <f t="shared" ref="E48:O48" si="16">EDATE(D48,-1)</f>
        <v>43009</v>
      </c>
      <c r="F48" s="2719">
        <f t="shared" si="16"/>
        <v>42979</v>
      </c>
      <c r="G48" s="2719">
        <f t="shared" si="16"/>
        <v>42948</v>
      </c>
      <c r="H48" s="2719">
        <f t="shared" si="16"/>
        <v>42917</v>
      </c>
      <c r="I48" s="2719">
        <f t="shared" si="16"/>
        <v>42887</v>
      </c>
      <c r="J48" s="2719">
        <f t="shared" si="16"/>
        <v>42856</v>
      </c>
      <c r="K48" s="2719">
        <f t="shared" si="16"/>
        <v>42826</v>
      </c>
      <c r="L48" s="2719">
        <f t="shared" si="16"/>
        <v>42795</v>
      </c>
      <c r="M48" s="2719">
        <f t="shared" si="16"/>
        <v>42767</v>
      </c>
      <c r="N48" s="2719">
        <f t="shared" si="16"/>
        <v>42736</v>
      </c>
      <c r="O48" s="2719">
        <f t="shared" si="16"/>
        <v>42705</v>
      </c>
      <c r="P48" s="2058"/>
      <c r="Q48" s="2059"/>
      <c r="R48" s="2059"/>
      <c r="S48" s="2059"/>
      <c r="T48" s="2059"/>
      <c r="U48" s="2059"/>
      <c r="V48" s="2059"/>
      <c r="W48" s="2059"/>
      <c r="X48" s="2059"/>
      <c r="Y48" s="2059"/>
      <c r="Z48" s="2059"/>
      <c r="AA48" s="2059"/>
      <c r="AB48" s="2059"/>
      <c r="AC48" s="2059"/>
    </row>
    <row r="49" spans="1:29" s="1220" customFormat="1" ht="15">
      <c r="A49" s="647"/>
      <c r="B49" s="648"/>
      <c r="C49" s="2718">
        <v>100</v>
      </c>
      <c r="D49" s="650"/>
      <c r="E49" s="650"/>
      <c r="F49" s="650"/>
      <c r="G49" s="650"/>
      <c r="H49" s="650"/>
      <c r="I49" s="650"/>
      <c r="J49" s="650"/>
      <c r="K49" s="650"/>
      <c r="L49" s="650"/>
      <c r="M49" s="651"/>
      <c r="N49" s="650"/>
      <c r="O49" s="652"/>
      <c r="P49" s="2056"/>
      <c r="Q49" s="1891"/>
      <c r="R49" s="1891"/>
      <c r="S49" s="1891"/>
      <c r="T49" s="1891"/>
      <c r="U49" s="1891"/>
      <c r="V49" s="1891"/>
      <c r="W49" s="1891"/>
      <c r="X49" s="1891"/>
      <c r="Y49" s="1891"/>
      <c r="Z49" s="1891"/>
      <c r="AA49" s="1891"/>
      <c r="AB49" s="1891"/>
      <c r="AC49" s="1891"/>
    </row>
    <row r="50" spans="1:29" s="1220" customFormat="1" ht="15.75" thickBot="1">
      <c r="A50" s="653" t="s">
        <v>573</v>
      </c>
      <c r="B50" s="654"/>
      <c r="C50" s="655"/>
      <c r="D50" s="656"/>
      <c r="E50" s="656"/>
      <c r="F50" s="656"/>
      <c r="G50" s="656"/>
      <c r="H50" s="656"/>
      <c r="I50" s="656"/>
      <c r="J50" s="656"/>
      <c r="K50" s="656"/>
      <c r="L50" s="656"/>
      <c r="M50" s="657"/>
      <c r="N50" s="656"/>
      <c r="O50" s="658"/>
      <c r="P50" s="2056"/>
      <c r="Q50" s="2056"/>
      <c r="R50" s="1891"/>
      <c r="S50" s="1891"/>
      <c r="T50" s="1891"/>
      <c r="U50" s="1891"/>
      <c r="V50" s="1891"/>
      <c r="W50" s="1891"/>
      <c r="X50" s="1891"/>
      <c r="Y50" s="1891"/>
      <c r="Z50" s="1891"/>
      <c r="AA50" s="1891"/>
      <c r="AB50" s="1891"/>
      <c r="AC50" s="1891"/>
    </row>
    <row r="51" spans="1:29" s="1220" customFormat="1" ht="15">
      <c r="A51" s="659" t="s">
        <v>529</v>
      </c>
      <c r="B51" s="648"/>
      <c r="C51" s="660" t="s">
        <v>574</v>
      </c>
      <c r="D51" s="661"/>
      <c r="E51" s="661"/>
      <c r="F51" s="661"/>
      <c r="G51" s="661"/>
      <c r="H51" s="661"/>
      <c r="I51" s="661"/>
      <c r="J51" s="661"/>
      <c r="K51" s="661"/>
      <c r="L51" s="662"/>
      <c r="M51" s="663"/>
      <c r="N51" s="2060"/>
      <c r="O51" s="2060"/>
      <c r="P51" s="2061"/>
      <c r="Q51" s="2056"/>
      <c r="R51" s="1891"/>
      <c r="S51" s="1891"/>
      <c r="T51" s="1891"/>
      <c r="U51" s="1891"/>
      <c r="V51" s="1891"/>
      <c r="W51" s="1891"/>
      <c r="X51" s="1891"/>
      <c r="Y51" s="1891"/>
      <c r="Z51" s="1891"/>
      <c r="AA51" s="1891"/>
      <c r="AB51" s="1891"/>
      <c r="AC51" s="1891"/>
    </row>
    <row r="52" spans="1:29" s="1220" customFormat="1" ht="15.75" thickBot="1">
      <c r="A52" s="659"/>
      <c r="B52" s="648"/>
      <c r="C52" s="649">
        <v>100</v>
      </c>
      <c r="D52" s="650"/>
      <c r="E52" s="650"/>
      <c r="F52" s="650"/>
      <c r="G52" s="650"/>
      <c r="H52" s="650"/>
      <c r="I52" s="650"/>
      <c r="J52" s="650"/>
      <c r="K52" s="650"/>
      <c r="L52" s="650"/>
      <c r="M52" s="652"/>
      <c r="N52" s="2060"/>
      <c r="O52" s="2060"/>
      <c r="P52" s="2056"/>
      <c r="Q52" s="2056"/>
      <c r="R52" s="1891"/>
      <c r="S52" s="1891"/>
      <c r="T52" s="1891"/>
      <c r="U52" s="1891"/>
      <c r="V52" s="1891"/>
      <c r="W52" s="1891"/>
      <c r="X52" s="1891"/>
      <c r="Y52" s="1891"/>
      <c r="Z52" s="1891"/>
      <c r="AA52" s="1891"/>
      <c r="AB52" s="1891"/>
      <c r="AC52" s="1891"/>
    </row>
    <row r="53" spans="1:29">
      <c r="A53" s="664" t="s">
        <v>575</v>
      </c>
      <c r="B53" s="665" t="s">
        <v>532</v>
      </c>
      <c r="C53" s="704">
        <f>C9</f>
        <v>0</v>
      </c>
      <c r="D53" s="598"/>
      <c r="E53" s="598"/>
      <c r="F53" s="598"/>
      <c r="G53" s="598"/>
      <c r="H53" s="598"/>
      <c r="I53" s="598"/>
      <c r="J53" s="598"/>
      <c r="K53" s="666"/>
      <c r="L53" s="667"/>
      <c r="M53" s="668"/>
      <c r="N53" s="2062"/>
      <c r="O53" s="2062"/>
      <c r="P53" s="2063"/>
      <c r="Q53" s="2056"/>
      <c r="R53" s="2043"/>
      <c r="S53" s="2043"/>
      <c r="T53" s="2043"/>
      <c r="U53" s="2043"/>
      <c r="V53" s="2043"/>
      <c r="W53" s="2043"/>
      <c r="X53" s="2043"/>
      <c r="Y53" s="2043"/>
      <c r="Z53" s="2043"/>
      <c r="AA53" s="2043"/>
      <c r="AB53" s="2043"/>
      <c r="AC53" s="2043"/>
    </row>
    <row r="54" spans="1:29" ht="15.75" thickBot="1">
      <c r="A54" s="669"/>
      <c r="B54" s="670"/>
      <c r="C54" s="671"/>
      <c r="D54" s="671"/>
      <c r="E54" s="671"/>
      <c r="F54" s="671"/>
      <c r="G54" s="671"/>
      <c r="H54" s="671"/>
      <c r="I54" s="671"/>
      <c r="J54" s="671"/>
      <c r="K54" s="671"/>
      <c r="L54" s="671"/>
      <c r="M54" s="672"/>
      <c r="N54" s="2064"/>
      <c r="O54" s="2064"/>
      <c r="P54" s="2063"/>
      <c r="Q54" s="2056"/>
      <c r="R54" s="2043"/>
      <c r="S54" s="2043"/>
      <c r="T54" s="2043"/>
      <c r="U54" s="2043"/>
      <c r="V54" s="2043"/>
      <c r="W54" s="2043"/>
      <c r="X54" s="2043"/>
      <c r="Y54" s="2043"/>
      <c r="Z54" s="2043"/>
      <c r="AA54" s="2043"/>
      <c r="AB54" s="2043"/>
      <c r="AC54" s="2043"/>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062"/>
      <c r="O55" s="2062"/>
      <c r="P55" s="2063"/>
      <c r="Q55" s="2056"/>
      <c r="R55" s="2043"/>
      <c r="S55" s="2043"/>
      <c r="T55" s="2043"/>
      <c r="U55" s="2043"/>
      <c r="V55" s="2043"/>
      <c r="W55" s="2043"/>
      <c r="X55" s="2043"/>
      <c r="Y55" s="2043"/>
      <c r="Z55" s="2043"/>
      <c r="AA55" s="2043"/>
      <c r="AB55" s="2043"/>
      <c r="AC55" s="20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064"/>
      <c r="O56" s="2064"/>
      <c r="P56" s="2063"/>
      <c r="Q56" s="2056"/>
      <c r="R56" s="2043"/>
      <c r="S56" s="2043"/>
      <c r="T56" s="2043"/>
      <c r="U56" s="2043"/>
      <c r="V56" s="2043"/>
      <c r="W56" s="2043"/>
      <c r="X56" s="2043"/>
      <c r="Y56" s="2043"/>
      <c r="Z56" s="2043"/>
      <c r="AA56" s="2043"/>
      <c r="AB56" s="2043"/>
      <c r="AC56" s="2043"/>
    </row>
    <row r="57" spans="1:29" ht="15.75" thickTop="1">
      <c r="A57" s="669"/>
      <c r="B57" s="935">
        <f>B11</f>
        <v>111</v>
      </c>
      <c r="C57" s="541"/>
      <c r="D57" s="541"/>
      <c r="E57" s="541"/>
      <c r="F57" s="541"/>
      <c r="G57" s="541"/>
      <c r="H57" s="541"/>
      <c r="I57" s="541"/>
      <c r="J57" s="541"/>
      <c r="K57" s="684"/>
      <c r="L57" s="685"/>
      <c r="M57" s="686"/>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92"/>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s="1339" customFormat="1" ht="15.75" thickTop="1">
      <c r="A59" s="687"/>
      <c r="B59" s="673">
        <f>B12</f>
        <v>111</v>
      </c>
      <c r="C59" s="541"/>
      <c r="D59" s="541"/>
      <c r="E59" s="541"/>
      <c r="F59" s="541"/>
      <c r="G59" s="688"/>
      <c r="H59" s="689"/>
      <c r="I59" s="689"/>
      <c r="J59" s="689"/>
      <c r="K59" s="689"/>
      <c r="L59" s="690"/>
      <c r="M59" s="691"/>
      <c r="N59" s="2065"/>
      <c r="O59" s="2065"/>
      <c r="P59" s="2066"/>
      <c r="Q59" s="2067"/>
      <c r="R59" s="2068"/>
      <c r="S59" s="2068"/>
      <c r="T59" s="2068"/>
      <c r="U59" s="2068"/>
      <c r="V59" s="2068"/>
      <c r="W59" s="2068"/>
      <c r="X59" s="2068"/>
      <c r="Y59" s="2068"/>
      <c r="Z59" s="2068"/>
      <c r="AA59" s="2068"/>
      <c r="AB59" s="2068"/>
      <c r="AC59" s="2068"/>
    </row>
    <row r="60" spans="1:29" s="1339" customFormat="1" ht="15.75" thickBot="1">
      <c r="A60" s="687"/>
      <c r="B60" s="678"/>
      <c r="C60" s="692"/>
      <c r="D60" s="671"/>
      <c r="E60" s="671"/>
      <c r="F60" s="671"/>
      <c r="G60" s="671"/>
      <c r="H60" s="671"/>
      <c r="I60" s="671"/>
      <c r="J60" s="671"/>
      <c r="K60" s="671"/>
      <c r="L60" s="671"/>
      <c r="M60" s="672"/>
      <c r="N60" s="2064"/>
      <c r="O60" s="2064"/>
      <c r="P60" s="2066"/>
      <c r="Q60" s="2067"/>
      <c r="R60" s="2068"/>
      <c r="S60" s="2068"/>
      <c r="T60" s="2068"/>
      <c r="U60" s="2068"/>
      <c r="V60" s="2068"/>
      <c r="W60" s="2068"/>
      <c r="X60" s="2068"/>
      <c r="Y60" s="2068"/>
      <c r="Z60" s="2068"/>
      <c r="AA60" s="2068"/>
      <c r="AB60" s="2068"/>
      <c r="AC60" s="2068"/>
    </row>
    <row r="61" spans="1:29" s="1339" customFormat="1" ht="15.75" thickTop="1">
      <c r="A61" s="687"/>
      <c r="B61" s="673">
        <f>B13</f>
        <v>111</v>
      </c>
      <c r="C61" s="688"/>
      <c r="D61" s="688"/>
      <c r="E61" s="688"/>
      <c r="F61" s="688"/>
      <c r="G61" s="688"/>
      <c r="H61" s="689"/>
      <c r="I61" s="689"/>
      <c r="J61" s="689"/>
      <c r="K61" s="689"/>
      <c r="L61" s="690"/>
      <c r="M61" s="691"/>
      <c r="N61" s="2065"/>
      <c r="O61" s="2065"/>
      <c r="P61" s="2069"/>
      <c r="Q61" s="2070"/>
      <c r="R61" s="2068"/>
      <c r="S61" s="2068"/>
      <c r="T61" s="2068"/>
      <c r="U61" s="2068"/>
      <c r="V61" s="2068"/>
      <c r="W61" s="2068"/>
      <c r="X61" s="2068"/>
      <c r="Y61" s="2068"/>
      <c r="Z61" s="2068"/>
      <c r="AA61" s="2068"/>
      <c r="AB61" s="2068"/>
      <c r="AC61" s="2068"/>
    </row>
    <row r="62" spans="1:29" s="1339" customFormat="1" ht="15.75" thickBot="1">
      <c r="A62" s="687"/>
      <c r="B62" s="678"/>
      <c r="C62" s="692"/>
      <c r="D62" s="692"/>
      <c r="E62" s="692"/>
      <c r="F62" s="692"/>
      <c r="G62" s="692"/>
      <c r="H62" s="693"/>
      <c r="I62" s="693"/>
      <c r="J62" s="693"/>
      <c r="K62" s="693"/>
      <c r="L62" s="693"/>
      <c r="M62" s="694"/>
      <c r="N62" s="2065"/>
      <c r="O62" s="2065"/>
      <c r="P62" s="2066"/>
      <c r="Q62" s="2067"/>
      <c r="R62" s="2068"/>
      <c r="S62" s="2068"/>
      <c r="T62" s="2068"/>
      <c r="U62" s="2068"/>
      <c r="V62" s="2068"/>
      <c r="W62" s="2068"/>
      <c r="X62" s="2068"/>
      <c r="Y62" s="2068"/>
      <c r="Z62" s="2068"/>
      <c r="AA62" s="2068"/>
      <c r="AB62" s="2068"/>
      <c r="AC62" s="2068"/>
    </row>
    <row r="63" spans="1:29" ht="15" thickTop="1">
      <c r="A63" s="664" t="s">
        <v>537</v>
      </c>
      <c r="B63" s="665" t="s">
        <v>584</v>
      </c>
      <c r="C63" s="703" t="s">
        <v>577</v>
      </c>
      <c r="D63" s="703" t="s">
        <v>578</v>
      </c>
      <c r="E63" s="703" t="s">
        <v>579</v>
      </c>
      <c r="F63" s="703" t="s">
        <v>580</v>
      </c>
      <c r="G63" s="703" t="s">
        <v>581</v>
      </c>
      <c r="H63" s="704"/>
      <c r="I63" s="704"/>
      <c r="J63" s="704"/>
      <c r="K63" s="705"/>
      <c r="L63" s="706"/>
      <c r="M63" s="707"/>
      <c r="N63" s="2062"/>
      <c r="O63" s="2062"/>
      <c r="P63" s="2072"/>
      <c r="Q63" s="2056"/>
      <c r="R63" s="2043"/>
      <c r="S63" s="2043"/>
      <c r="T63" s="2043"/>
      <c r="U63" s="2043"/>
      <c r="V63" s="2043"/>
      <c r="W63" s="2043"/>
      <c r="X63" s="2043"/>
      <c r="Y63" s="2043"/>
      <c r="Z63" s="2043"/>
      <c r="AA63" s="2043"/>
      <c r="AB63" s="2043"/>
      <c r="AC63" s="20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1794" t="s">
        <v>2554</v>
      </c>
      <c r="C65" s="708" t="s">
        <v>577</v>
      </c>
      <c r="D65" s="708" t="s">
        <v>578</v>
      </c>
      <c r="E65" s="708" t="s">
        <v>579</v>
      </c>
      <c r="F65" s="708" t="s">
        <v>580</v>
      </c>
      <c r="G65" s="708" t="s">
        <v>581</v>
      </c>
      <c r="H65" s="674"/>
      <c r="I65" s="674"/>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2516" t="s">
        <v>2555</v>
      </c>
      <c r="C67" s="2517" t="s">
        <v>2556</v>
      </c>
      <c r="D67" s="2517" t="s">
        <v>2557</v>
      </c>
      <c r="E67" s="2517" t="s">
        <v>2558</v>
      </c>
      <c r="F67" s="2517" t="s">
        <v>2559</v>
      </c>
      <c r="G67" s="2517" t="s">
        <v>2560</v>
      </c>
      <c r="H67" s="674"/>
      <c r="I67" s="674"/>
      <c r="J67" s="674"/>
      <c r="K67" s="674"/>
      <c r="L67" s="674"/>
      <c r="M67" s="2520"/>
      <c r="N67" s="2064"/>
      <c r="O67" s="2064"/>
      <c r="P67" s="2063"/>
      <c r="Q67" s="2056"/>
      <c r="R67" s="2043"/>
      <c r="S67" s="2043"/>
      <c r="T67" s="2043"/>
      <c r="U67" s="2043"/>
      <c r="V67" s="2043"/>
      <c r="W67" s="2043"/>
      <c r="X67" s="2043"/>
      <c r="Y67" s="2043"/>
      <c r="Z67" s="2043"/>
      <c r="AA67" s="2043"/>
      <c r="AB67" s="2043"/>
      <c r="AC67" s="20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742</v>
      </c>
      <c r="C69" s="708" t="s">
        <v>577</v>
      </c>
      <c r="D69" s="708" t="s">
        <v>578</v>
      </c>
      <c r="E69" s="708" t="s">
        <v>579</v>
      </c>
      <c r="F69" s="708" t="s">
        <v>580</v>
      </c>
      <c r="G69" s="708" t="s">
        <v>581</v>
      </c>
      <c r="H69" s="674"/>
      <c r="I69" s="674"/>
      <c r="J69" s="674"/>
      <c r="K69" s="675"/>
      <c r="L69" s="676"/>
      <c r="M69" s="677"/>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ht="15.75" thickTop="1">
      <c r="A71" s="669"/>
      <c r="B71" s="673" t="s">
        <v>743</v>
      </c>
      <c r="C71" s="688"/>
      <c r="D71" s="688"/>
      <c r="E71" s="688"/>
      <c r="F71" s="688"/>
      <c r="G71" s="688"/>
      <c r="H71" s="718"/>
      <c r="I71" s="718"/>
      <c r="J71" s="718"/>
      <c r="K71" s="719"/>
      <c r="L71" s="720"/>
      <c r="M71" s="721"/>
      <c r="N71" s="2062"/>
      <c r="O71" s="2062"/>
      <c r="P71" s="2063"/>
      <c r="Q71" s="2056"/>
      <c r="R71" s="2043"/>
      <c r="S71" s="2043"/>
      <c r="T71" s="2043"/>
      <c r="U71" s="2043"/>
      <c r="V71" s="2043"/>
      <c r="W71" s="2043"/>
      <c r="X71" s="2043"/>
      <c r="Y71" s="2043"/>
      <c r="Z71" s="2043"/>
      <c r="AA71" s="2043"/>
      <c r="AB71" s="2043"/>
      <c r="AC71" s="20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064"/>
      <c r="O72" s="2064"/>
      <c r="P72" s="2063"/>
      <c r="Q72" s="2056"/>
      <c r="R72" s="2043"/>
      <c r="S72" s="2043"/>
      <c r="T72" s="2043"/>
      <c r="U72" s="2043"/>
      <c r="V72" s="2043"/>
      <c r="W72" s="2043"/>
      <c r="X72" s="2043"/>
      <c r="Y72" s="2043"/>
      <c r="Z72" s="2043"/>
      <c r="AA72" s="2043"/>
      <c r="AB72" s="2043"/>
      <c r="AC72" s="2043"/>
    </row>
    <row r="73" spans="1:29" s="1220" customFormat="1" ht="15.75" thickTop="1">
      <c r="A73" s="709"/>
      <c r="B73" s="673">
        <f>B23</f>
        <v>111</v>
      </c>
      <c r="C73" s="541"/>
      <c r="D73" s="541"/>
      <c r="E73" s="541"/>
      <c r="F73" s="541"/>
      <c r="G73" s="688"/>
      <c r="H73" s="688"/>
      <c r="I73" s="688"/>
      <c r="J73" s="688"/>
      <c r="K73" s="688"/>
      <c r="L73" s="890"/>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220" customFormat="1" ht="15.75" thickTop="1">
      <c r="A75" s="709"/>
      <c r="B75" s="673">
        <f>B24</f>
        <v>111</v>
      </c>
      <c r="C75" s="541"/>
      <c r="D75" s="541"/>
      <c r="E75" s="541"/>
      <c r="F75" s="541"/>
      <c r="G75" s="688"/>
      <c r="H75" s="688"/>
      <c r="I75" s="688"/>
      <c r="J75" s="688"/>
      <c r="K75" s="688"/>
      <c r="L75" s="688"/>
      <c r="M75" s="891"/>
      <c r="N75" s="2060"/>
      <c r="O75" s="2060"/>
      <c r="P75" s="2063"/>
      <c r="Q75" s="2056"/>
      <c r="R75" s="1891"/>
      <c r="S75" s="1891"/>
      <c r="T75" s="1891"/>
      <c r="U75" s="1891"/>
      <c r="V75" s="1891"/>
      <c r="W75" s="1891"/>
      <c r="X75" s="1891"/>
      <c r="Y75" s="1891"/>
      <c r="Z75" s="1891"/>
      <c r="AA75" s="1891"/>
      <c r="AB75" s="1891"/>
      <c r="AC75" s="1891"/>
    </row>
    <row r="76" spans="1:29" s="1220" customFormat="1" ht="15.75" thickBot="1">
      <c r="A76" s="709"/>
      <c r="B76" s="678"/>
      <c r="C76" s="692"/>
      <c r="D76" s="671"/>
      <c r="E76" s="671"/>
      <c r="F76" s="671"/>
      <c r="G76" s="671"/>
      <c r="H76" s="671"/>
      <c r="I76" s="671"/>
      <c r="J76" s="671"/>
      <c r="K76" s="671"/>
      <c r="L76" s="671"/>
      <c r="M76" s="672"/>
      <c r="N76" s="2064"/>
      <c r="O76" s="2064"/>
      <c r="P76" s="2063"/>
      <c r="Q76" s="2056"/>
      <c r="R76" s="1891"/>
      <c r="S76" s="1891"/>
      <c r="T76" s="1891"/>
      <c r="U76" s="1891"/>
      <c r="V76" s="1891"/>
      <c r="W76" s="1891"/>
      <c r="X76" s="1891"/>
      <c r="Y76" s="1891"/>
      <c r="Z76" s="1891"/>
      <c r="AA76" s="1891"/>
      <c r="AB76" s="1891"/>
      <c r="AC76" s="1891"/>
    </row>
    <row r="77" spans="1:29" s="1339" customFormat="1" ht="15.75" thickTop="1">
      <c r="A77" s="687"/>
      <c r="B77" s="673">
        <f>B25</f>
        <v>111</v>
      </c>
      <c r="C77" s="688"/>
      <c r="D77" s="688"/>
      <c r="E77" s="688"/>
      <c r="F77" s="688"/>
      <c r="G77" s="688"/>
      <c r="H77" s="689"/>
      <c r="I77" s="689"/>
      <c r="J77" s="689"/>
      <c r="K77" s="689"/>
      <c r="L77" s="690"/>
      <c r="M77" s="691"/>
      <c r="N77" s="2065"/>
      <c r="O77" s="2065"/>
      <c r="P77" s="2066"/>
      <c r="Q77" s="2067"/>
      <c r="R77" s="2068"/>
      <c r="S77" s="2068"/>
      <c r="T77" s="2068"/>
      <c r="U77" s="2068"/>
      <c r="V77" s="2068"/>
      <c r="W77" s="2068"/>
      <c r="X77" s="2068"/>
      <c r="Y77" s="2068"/>
      <c r="Z77" s="2068"/>
      <c r="AA77" s="2068"/>
      <c r="AB77" s="2068"/>
      <c r="AC77" s="2068"/>
    </row>
    <row r="78" spans="1:29" s="1339" customFormat="1" ht="15.75" thickBot="1">
      <c r="A78" s="687"/>
      <c r="B78" s="678"/>
      <c r="C78" s="692"/>
      <c r="D78" s="692"/>
      <c r="E78" s="692"/>
      <c r="F78" s="692"/>
      <c r="G78" s="671"/>
      <c r="H78" s="671"/>
      <c r="I78" s="671"/>
      <c r="J78" s="671"/>
      <c r="K78" s="671"/>
      <c r="L78" s="671"/>
      <c r="M78" s="672"/>
      <c r="N78" s="2065"/>
      <c r="O78" s="2065"/>
      <c r="P78" s="2066"/>
      <c r="Q78" s="2067"/>
      <c r="R78" s="2068"/>
      <c r="S78" s="2068"/>
      <c r="T78" s="2068"/>
      <c r="U78" s="2068"/>
      <c r="V78" s="2068"/>
      <c r="W78" s="2068"/>
      <c r="X78" s="2068"/>
      <c r="Y78" s="2068"/>
      <c r="Z78" s="2068"/>
      <c r="AA78" s="2068"/>
      <c r="AB78" s="2068"/>
      <c r="AC78" s="2068"/>
    </row>
    <row r="79" spans="1:29" ht="27.75" thickTop="1">
      <c r="A79" s="664" t="s">
        <v>549</v>
      </c>
      <c r="B79" s="665" t="s">
        <v>812</v>
      </c>
      <c r="C79" s="704">
        <f>C26</f>
        <v>0</v>
      </c>
      <c r="D79" s="598"/>
      <c r="E79" s="598"/>
      <c r="F79" s="598"/>
      <c r="G79" s="598"/>
      <c r="H79" s="598"/>
      <c r="I79" s="598"/>
      <c r="J79" s="598"/>
      <c r="K79" s="666"/>
      <c r="L79" s="667"/>
      <c r="M79" s="668"/>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064"/>
      <c r="O80" s="2064"/>
      <c r="P80" s="2063"/>
      <c r="Q80" s="2056"/>
      <c r="R80" s="2043"/>
      <c r="S80" s="2043"/>
      <c r="T80" s="2043"/>
      <c r="U80" s="2043"/>
      <c r="V80" s="2043"/>
      <c r="W80" s="2043"/>
      <c r="X80" s="2043"/>
      <c r="Y80" s="2043"/>
      <c r="Z80" s="2043"/>
      <c r="AA80" s="2043"/>
      <c r="AB80" s="2043"/>
      <c r="AC80" s="2043"/>
    </row>
    <row r="81" spans="1:29" ht="15.75" thickTop="1">
      <c r="A81" s="669"/>
      <c r="B81" s="673" t="s">
        <v>813</v>
      </c>
      <c r="C81" s="936"/>
      <c r="D81" s="936"/>
      <c r="E81" s="936"/>
      <c r="F81" s="936"/>
      <c r="G81" s="936"/>
      <c r="H81" s="936"/>
      <c r="I81" s="936"/>
      <c r="J81" s="936"/>
      <c r="K81" s="937"/>
      <c r="L81" s="938"/>
      <c r="M81" s="939"/>
      <c r="N81" s="2060"/>
      <c r="O81" s="2060"/>
      <c r="P81" s="2063"/>
      <c r="Q81" s="2056"/>
      <c r="R81" s="2043"/>
      <c r="S81" s="2043"/>
      <c r="T81" s="2043"/>
      <c r="U81" s="2043"/>
      <c r="V81" s="2043"/>
      <c r="W81" s="2043"/>
      <c r="X81" s="2043"/>
      <c r="Y81" s="2043"/>
      <c r="Z81" s="2043"/>
      <c r="AA81" s="2043"/>
      <c r="AB81" s="2043"/>
      <c r="AC81" s="2043"/>
    </row>
    <row r="82" spans="1:29" s="1339" customFormat="1" ht="15.75" thickBot="1">
      <c r="A82" s="687"/>
      <c r="B82" s="678"/>
      <c r="C82" s="692"/>
      <c r="D82" s="671"/>
      <c r="E82" s="671"/>
      <c r="F82" s="671"/>
      <c r="G82" s="671"/>
      <c r="H82" s="671"/>
      <c r="I82" s="671"/>
      <c r="J82" s="671"/>
      <c r="K82" s="671"/>
      <c r="L82" s="671"/>
      <c r="M82" s="672"/>
      <c r="N82" s="2064"/>
      <c r="O82" s="2064"/>
      <c r="P82" s="2066"/>
      <c r="Q82" s="2067"/>
      <c r="R82" s="2068"/>
      <c r="S82" s="2068"/>
      <c r="T82" s="2068"/>
      <c r="U82" s="2068"/>
      <c r="V82" s="2068"/>
      <c r="W82" s="2068"/>
      <c r="X82" s="2068"/>
      <c r="Y82" s="2068"/>
      <c r="Z82" s="2068"/>
      <c r="AA82" s="2068"/>
      <c r="AB82" s="2068"/>
      <c r="AC82" s="2068"/>
    </row>
    <row r="83" spans="1:29" ht="15" thickTop="1">
      <c r="A83" s="735"/>
      <c r="B83" s="673" t="s">
        <v>749</v>
      </c>
      <c r="C83" s="688"/>
      <c r="D83" s="688"/>
      <c r="E83" s="718"/>
      <c r="F83" s="718"/>
      <c r="G83" s="718"/>
      <c r="H83" s="718"/>
      <c r="I83" s="718"/>
      <c r="J83" s="718"/>
      <c r="K83" s="719"/>
      <c r="L83" s="720"/>
      <c r="M83" s="721"/>
      <c r="N83" s="2062"/>
      <c r="O83" s="2062"/>
      <c r="P83" s="2063"/>
      <c r="Q83" s="2056"/>
      <c r="R83" s="2043"/>
      <c r="S83" s="2043"/>
      <c r="T83" s="2043"/>
      <c r="U83" s="2043"/>
      <c r="V83" s="2043"/>
      <c r="W83" s="2043"/>
      <c r="X83" s="2043"/>
      <c r="Y83" s="2043"/>
      <c r="Z83" s="2043"/>
      <c r="AA83" s="2043"/>
      <c r="AB83" s="2043"/>
      <c r="AC83" s="20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064"/>
      <c r="O84" s="2064"/>
      <c r="P84" s="2063"/>
      <c r="Q84" s="2056"/>
      <c r="R84" s="2043"/>
      <c r="S84" s="2043"/>
      <c r="T84" s="2043"/>
      <c r="U84" s="2043"/>
      <c r="V84" s="2043"/>
      <c r="W84" s="2043"/>
      <c r="X84" s="2043"/>
      <c r="Y84" s="2043"/>
      <c r="Z84" s="2043"/>
      <c r="AA84" s="2043"/>
      <c r="AB84" s="2043"/>
      <c r="AC84" s="2043"/>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062"/>
      <c r="O85" s="2062"/>
      <c r="P85" s="2063"/>
      <c r="Q85" s="2056"/>
      <c r="R85" s="2043"/>
      <c r="S85" s="2043"/>
      <c r="T85" s="2043"/>
      <c r="U85" s="2043"/>
      <c r="V85" s="2043"/>
      <c r="W85" s="2043"/>
      <c r="X85" s="2043"/>
      <c r="Y85" s="2043"/>
      <c r="Z85" s="2043"/>
      <c r="AA85" s="2043"/>
      <c r="AB85" s="2043"/>
      <c r="AC85" s="2043"/>
    </row>
    <row r="86" spans="1:29">
      <c r="A86" s="735"/>
      <c r="B86" s="681"/>
      <c r="C86" s="894">
        <v>0.5</v>
      </c>
      <c r="D86" s="894">
        <v>0.6</v>
      </c>
      <c r="E86" s="894">
        <v>0.7</v>
      </c>
      <c r="F86" s="894">
        <v>0.8</v>
      </c>
      <c r="G86" s="894">
        <v>0.9</v>
      </c>
      <c r="H86" s="894">
        <v>1.0001</v>
      </c>
      <c r="I86" s="905"/>
      <c r="J86" s="905"/>
      <c r="K86" s="906"/>
      <c r="L86" s="907"/>
      <c r="M86" s="908"/>
      <c r="N86" s="2062"/>
      <c r="O86" s="2062"/>
      <c r="P86" s="2063"/>
      <c r="Q86" s="2056"/>
      <c r="R86" s="2043"/>
      <c r="S86" s="2043"/>
      <c r="T86" s="2043"/>
      <c r="U86" s="2043"/>
      <c r="V86" s="2043"/>
      <c r="W86" s="2043"/>
      <c r="X86" s="2043"/>
      <c r="Y86" s="2043"/>
      <c r="Z86" s="2043"/>
      <c r="AA86" s="2043"/>
      <c r="AB86" s="2043"/>
      <c r="AC86" s="20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2043"/>
      <c r="S87" s="2043"/>
      <c r="T87" s="2043"/>
      <c r="U87" s="2043"/>
      <c r="V87" s="2043"/>
      <c r="W87" s="2043"/>
      <c r="X87" s="2043"/>
      <c r="Y87" s="2043"/>
      <c r="Z87" s="2043"/>
      <c r="AA87" s="2043"/>
      <c r="AB87" s="2043"/>
      <c r="AC87" s="2043"/>
    </row>
    <row r="88" spans="1:29" ht="15" thickTop="1">
      <c r="A88" s="735"/>
      <c r="B88" s="681" t="s">
        <v>815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064"/>
      <c r="O89" s="2064"/>
      <c r="P89" s="2063"/>
      <c r="Q89" s="2056"/>
      <c r="R89" s="2043"/>
      <c r="S89" s="2043"/>
      <c r="T89" s="2043"/>
      <c r="U89" s="2043"/>
      <c r="V89" s="2043"/>
      <c r="W89" s="2043"/>
      <c r="X89" s="2043"/>
      <c r="Y89" s="2043"/>
      <c r="Z89" s="2043"/>
      <c r="AA89" s="2043"/>
      <c r="AB89" s="2043"/>
      <c r="AC89" s="2043"/>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065"/>
      <c r="O90" s="2065"/>
      <c r="P90" s="2066"/>
      <c r="Q90" s="2067"/>
      <c r="R90" s="2068"/>
      <c r="S90" s="2068"/>
      <c r="T90" s="2068"/>
      <c r="U90" s="2068"/>
      <c r="V90" s="2068"/>
      <c r="W90" s="2068"/>
      <c r="X90" s="2068"/>
      <c r="Y90" s="2068"/>
      <c r="Z90" s="2068"/>
      <c r="AA90" s="2068"/>
      <c r="AB90" s="2068"/>
      <c r="AC90" s="2068"/>
    </row>
    <row r="91" spans="1:29" s="1339" customFormat="1">
      <c r="A91" s="728"/>
      <c r="B91" s="681"/>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5"/>
      <c r="O92" s="2065"/>
      <c r="P92" s="2066"/>
      <c r="Q92" s="2067"/>
      <c r="R92" s="2068"/>
      <c r="S92" s="2068"/>
      <c r="T92" s="2068"/>
      <c r="U92" s="2068"/>
      <c r="V92" s="2068"/>
      <c r="W92" s="2068"/>
      <c r="X92" s="2068"/>
      <c r="Y92" s="2068"/>
      <c r="Z92" s="2068"/>
      <c r="AA92" s="2068"/>
      <c r="AB92" s="2068"/>
      <c r="AC92" s="2068"/>
    </row>
    <row r="93" spans="1:29" ht="15" thickTop="1">
      <c r="A93" s="735"/>
      <c r="B93" s="673" t="s">
        <v>817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818</v>
      </c>
      <c r="C95" s="598"/>
      <c r="D95" s="598"/>
      <c r="E95" s="598"/>
      <c r="F95" s="598"/>
      <c r="G95" s="598"/>
      <c r="H95" s="598"/>
      <c r="I95" s="598"/>
      <c r="J95" s="598"/>
      <c r="K95" s="666"/>
      <c r="L95" s="667"/>
      <c r="M95" s="668"/>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064"/>
      <c r="O96" s="2064"/>
      <c r="P96" s="2063"/>
      <c r="Q96" s="2056"/>
      <c r="R96" s="2043"/>
      <c r="S96" s="2043"/>
      <c r="T96" s="2043"/>
      <c r="U96" s="2043"/>
      <c r="V96" s="2043"/>
      <c r="W96" s="2043"/>
      <c r="X96" s="2043"/>
      <c r="Y96" s="2043"/>
      <c r="Z96" s="2043"/>
      <c r="AA96" s="2043"/>
      <c r="AB96" s="2043"/>
      <c r="AC96" s="2043"/>
    </row>
    <row r="97" spans="1:29" ht="15" thickTop="1">
      <c r="A97" s="735"/>
      <c r="B97" s="917">
        <f>B34</f>
        <v>111</v>
      </c>
      <c r="C97" s="541"/>
      <c r="D97" s="541"/>
      <c r="E97" s="541"/>
      <c r="F97" s="541"/>
      <c r="G97" s="688"/>
      <c r="H97" s="689"/>
      <c r="I97" s="689"/>
      <c r="J97" s="689"/>
      <c r="K97" s="689"/>
      <c r="L97" s="690"/>
      <c r="M97" s="691"/>
      <c r="N97" s="2064"/>
      <c r="O97" s="2064"/>
      <c r="P97" s="2103"/>
      <c r="Q97" s="2104"/>
      <c r="R97" s="2043"/>
      <c r="S97" s="2043"/>
      <c r="T97" s="2043"/>
      <c r="U97" s="2043"/>
      <c r="V97" s="2043"/>
      <c r="W97" s="2043"/>
      <c r="X97" s="2043"/>
      <c r="Y97" s="2043"/>
      <c r="Z97" s="2043"/>
      <c r="AA97" s="2043"/>
      <c r="AB97" s="2043"/>
      <c r="AC97" s="2043"/>
    </row>
    <row r="98" spans="1:29" ht="15.75" thickBot="1">
      <c r="A98" s="669"/>
      <c r="B98" s="678"/>
      <c r="C98" s="692"/>
      <c r="D98" s="671"/>
      <c r="E98" s="671"/>
      <c r="F98" s="671"/>
      <c r="G98" s="692"/>
      <c r="H98" s="693"/>
      <c r="I98" s="693"/>
      <c r="J98" s="693"/>
      <c r="K98" s="693"/>
      <c r="L98" s="693"/>
      <c r="M98" s="694"/>
      <c r="N98" s="2064"/>
      <c r="O98" s="2064"/>
      <c r="P98" s="2063"/>
      <c r="Q98" s="2056"/>
      <c r="R98" s="2043"/>
      <c r="S98" s="2043"/>
      <c r="T98" s="2043"/>
      <c r="U98" s="2043"/>
      <c r="V98" s="2043"/>
      <c r="W98" s="2043"/>
      <c r="X98" s="2043"/>
      <c r="Y98" s="2043"/>
      <c r="Z98" s="2043"/>
      <c r="AA98" s="2043"/>
      <c r="AB98" s="2043"/>
      <c r="AC98" s="2043"/>
    </row>
    <row r="99" spans="1:29" s="1339" customFormat="1" ht="15" thickTop="1">
      <c r="A99" s="728"/>
      <c r="B99" s="673">
        <f>B35</f>
        <v>111</v>
      </c>
      <c r="C99" s="541"/>
      <c r="D99" s="541"/>
      <c r="E99" s="541"/>
      <c r="F99" s="541"/>
      <c r="G99" s="688"/>
      <c r="H99" s="689"/>
      <c r="I99" s="689"/>
      <c r="J99" s="689"/>
      <c r="K99" s="689"/>
      <c r="L99" s="690"/>
      <c r="M99" s="691"/>
      <c r="N99" s="2065"/>
      <c r="O99" s="2065"/>
      <c r="P99" s="2066"/>
      <c r="Q99" s="2067"/>
      <c r="R99" s="2068"/>
      <c r="S99" s="2068"/>
      <c r="T99" s="2068"/>
      <c r="U99" s="2068"/>
      <c r="V99" s="2068"/>
      <c r="W99" s="2068"/>
      <c r="X99" s="2068"/>
      <c r="Y99" s="2068"/>
      <c r="Z99" s="2068"/>
      <c r="AA99" s="2068"/>
      <c r="AB99" s="2068"/>
      <c r="AC99" s="2068"/>
    </row>
    <row r="100" spans="1:29" s="1339" customFormat="1" ht="15.75" thickBot="1">
      <c r="A100" s="687"/>
      <c r="B100" s="670"/>
      <c r="C100" s="692"/>
      <c r="D100" s="671"/>
      <c r="E100" s="671"/>
      <c r="F100" s="671"/>
      <c r="G100" s="692"/>
      <c r="H100" s="693"/>
      <c r="I100" s="693"/>
      <c r="J100" s="693"/>
      <c r="K100" s="693"/>
      <c r="L100" s="693"/>
      <c r="M100" s="694"/>
      <c r="N100" s="2065"/>
      <c r="O100" s="2065"/>
      <c r="P100" s="2066"/>
      <c r="Q100" s="2067"/>
      <c r="R100" s="2068"/>
      <c r="S100" s="2068"/>
      <c r="T100" s="2068"/>
      <c r="U100" s="2068"/>
      <c r="V100" s="2068"/>
      <c r="W100" s="2068"/>
      <c r="X100" s="2068"/>
      <c r="Y100" s="2068"/>
      <c r="Z100" s="2068"/>
      <c r="AA100" s="2068"/>
      <c r="AB100" s="2068"/>
      <c r="AC100" s="2068"/>
    </row>
    <row r="101" spans="1:29" ht="15" thickTop="1">
      <c r="A101" s="735"/>
      <c r="B101" s="673">
        <f>B36</f>
        <v>111</v>
      </c>
      <c r="C101" s="688"/>
      <c r="D101" s="688"/>
      <c r="E101" s="688"/>
      <c r="F101" s="688"/>
      <c r="G101" s="688"/>
      <c r="H101" s="689"/>
      <c r="I101" s="689"/>
      <c r="J101" s="689"/>
      <c r="K101" s="689"/>
      <c r="L101" s="690"/>
      <c r="M101" s="69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92"/>
      <c r="D102" s="692"/>
      <c r="E102" s="692"/>
      <c r="F102" s="692"/>
      <c r="G102" s="692"/>
      <c r="H102" s="693"/>
      <c r="I102" s="693"/>
      <c r="J102" s="693"/>
      <c r="K102" s="693"/>
      <c r="L102" s="693"/>
      <c r="M102" s="694"/>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56" t="s">
        <v>796</v>
      </c>
      <c r="D4" s="3557"/>
      <c r="E4" s="3579" t="s">
        <v>797</v>
      </c>
      <c r="F4" s="3580"/>
      <c r="G4" s="3556" t="s">
        <v>798</v>
      </c>
      <c r="H4" s="3557"/>
      <c r="I4" s="3556" t="s">
        <v>799</v>
      </c>
      <c r="J4" s="3557"/>
      <c r="K4" s="514" t="s">
        <v>800</v>
      </c>
      <c r="L4" s="2031"/>
      <c r="M4" s="2032"/>
      <c r="N4" s="2032"/>
      <c r="O4" s="2032"/>
      <c r="P4" s="3558" t="s">
        <v>801</v>
      </c>
      <c r="Q4" s="3559"/>
      <c r="R4" s="3544" t="s">
        <v>797</v>
      </c>
      <c r="S4" s="3545"/>
      <c r="T4" s="3544" t="s">
        <v>798</v>
      </c>
      <c r="U4" s="3545"/>
      <c r="V4" s="3564" t="s">
        <v>799</v>
      </c>
      <c r="W4" s="3564"/>
      <c r="X4" s="1568"/>
      <c r="Y4" s="3544" t="s">
        <v>801</v>
      </c>
      <c r="Z4" s="3545"/>
      <c r="AA4" s="3539" t="s">
        <v>797</v>
      </c>
      <c r="AB4" s="3540" t="s">
        <v>798</v>
      </c>
      <c r="AC4" s="3539" t="s">
        <v>799</v>
      </c>
    </row>
    <row r="5" spans="1:29" ht="15">
      <c r="A5" s="515"/>
      <c r="B5" s="516"/>
      <c r="C5" s="3583" t="s">
        <v>2916</v>
      </c>
      <c r="D5" s="3568"/>
      <c r="E5" s="3581" t="s">
        <v>2917</v>
      </c>
      <c r="F5" s="3582"/>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40"/>
      <c r="AC5" s="3540"/>
    </row>
    <row r="6" spans="1:29" ht="15.75" thickBot="1">
      <c r="A6" s="517"/>
      <c r="B6" s="518"/>
      <c r="C6" s="3584" t="s">
        <v>2920</v>
      </c>
      <c r="D6" s="3585"/>
      <c r="E6" s="3586" t="s">
        <v>2920</v>
      </c>
      <c r="F6" s="3587"/>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41"/>
      <c r="AC6" s="3541"/>
    </row>
    <row r="7" spans="1:29" s="1220" customFormat="1" ht="15.75" thickBot="1">
      <c r="A7" s="2827"/>
      <c r="B7" s="2834" t="s">
        <v>527</v>
      </c>
      <c r="C7" s="519">
        <f>'数据-取费表'!B2</f>
        <v>43095</v>
      </c>
      <c r="D7" s="520">
        <v>100</v>
      </c>
      <c r="E7" s="521"/>
      <c r="F7" s="522">
        <f>SUMIF(46:46,YEAR(E7)&amp;"-"&amp;MONTH(E7),47:47)</f>
        <v>0</v>
      </c>
      <c r="G7" s="523"/>
      <c r="H7" s="520">
        <f>SUMIF(46:46,YEAR(G7)&amp;"-"&amp;MONTH(G7),47:47)</f>
        <v>0</v>
      </c>
      <c r="I7" s="523"/>
      <c r="J7" s="520">
        <f>SUMIF(46:46,YEAR(I7)&amp;"-"&amp;MONTH(I7),47:47)</f>
        <v>0</v>
      </c>
      <c r="K7" s="524"/>
      <c r="L7" s="2033"/>
      <c r="M7" s="2034"/>
      <c r="N7" s="2034"/>
      <c r="O7" s="2034"/>
      <c r="P7" s="3542" t="s">
        <v>528</v>
      </c>
      <c r="Q7" s="3551"/>
      <c r="R7" s="1569" t="s">
        <v>8</v>
      </c>
      <c r="S7" s="1570">
        <f t="shared" ref="S7:S14" si="0">F7</f>
        <v>0</v>
      </c>
      <c r="T7" s="1569" t="s">
        <v>8</v>
      </c>
      <c r="U7" s="1570">
        <f t="shared" ref="U7:U14" si="1">H7</f>
        <v>0</v>
      </c>
      <c r="V7" s="1569" t="s">
        <v>8</v>
      </c>
      <c r="W7" s="1570">
        <f t="shared" ref="W7:W14" si="2">J7</f>
        <v>0</v>
      </c>
      <c r="X7" s="1571"/>
      <c r="Y7" s="3542" t="s">
        <v>528</v>
      </c>
      <c r="Z7" s="3543"/>
      <c r="AA7" s="1572" t="e">
        <f>D7/F7</f>
        <v>#DIV/0!</v>
      </c>
      <c r="AB7" s="1572" t="e">
        <f>D7/H7</f>
        <v>#DIV/0!</v>
      </c>
      <c r="AC7" s="1572" t="e">
        <f>D7/J7</f>
        <v>#DIV/0!</v>
      </c>
    </row>
    <row r="8" spans="1:29" s="1220" customFormat="1" ht="15.75" thickBot="1">
      <c r="A8" s="2828"/>
      <c r="B8" s="2835" t="s">
        <v>529</v>
      </c>
      <c r="C8" s="525" t="s">
        <v>574</v>
      </c>
      <c r="D8" s="520">
        <v>100</v>
      </c>
      <c r="E8" s="525"/>
      <c r="F8" s="522">
        <f>SUMIF(49:49,E8,50:50)-SUMIF(49:49,C8,50:50)+100</f>
        <v>0</v>
      </c>
      <c r="G8" s="525"/>
      <c r="H8" s="520">
        <f>SUMIF(49:49,G8,50:50)-SUMIF(49:49,C8,50:50)+100</f>
        <v>0</v>
      </c>
      <c r="I8" s="525"/>
      <c r="J8" s="520">
        <f>SUMIF(49:49,I8,50:50)-SUMIF(49:49,C8,50:50)+100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34" si="3">D8/F8</f>
        <v>#DIV/0!</v>
      </c>
      <c r="AB8" s="1572" t="e">
        <f t="shared" ref="AB8:AB34" si="4">D8/H8</f>
        <v>#DIV/0!</v>
      </c>
      <c r="AC8" s="1572" t="e">
        <f t="shared" ref="AC8:AC34" si="5">D8/J8</f>
        <v>#DIV/0!</v>
      </c>
    </row>
    <row r="9" spans="1:29" s="1220" customFormat="1" ht="15">
      <c r="A9" s="2829"/>
      <c r="B9" s="2836" t="s">
        <v>2755</v>
      </c>
      <c r="C9" s="857"/>
      <c r="D9" s="254">
        <v>100</v>
      </c>
      <c r="E9" s="860"/>
      <c r="F9" s="254">
        <f>SUMIF(51:51,E9,52:52)-SUMIF(51:51,C9,52:52)+100</f>
        <v>100</v>
      </c>
      <c r="G9" s="860"/>
      <c r="H9" s="254">
        <f>SUMIF(51:51,G9,52:52)-SUMIF(51:51,C9,52:52)+100</f>
        <v>100</v>
      </c>
      <c r="I9" s="860"/>
      <c r="J9" s="254">
        <f>SUMIF(51:51,I9,52:52)-SUMIF(51:51,C9,52:52)+100</f>
        <v>100</v>
      </c>
      <c r="K9" s="524"/>
      <c r="L9" s="2033"/>
      <c r="M9" s="2034"/>
      <c r="N9" s="2034"/>
      <c r="O9" s="2035"/>
      <c r="P9" s="3550" t="s">
        <v>533</v>
      </c>
      <c r="Q9" s="1151" t="str">
        <f t="shared" ref="Q9:Q14" si="6">B9</f>
        <v>用途</v>
      </c>
      <c r="R9" s="1569" t="s">
        <v>8</v>
      </c>
      <c r="S9" s="1570">
        <f t="shared" si="0"/>
        <v>100</v>
      </c>
      <c r="T9" s="1569" t="s">
        <v>8</v>
      </c>
      <c r="U9" s="1570">
        <f t="shared" si="1"/>
        <v>100</v>
      </c>
      <c r="V9" s="1569" t="s">
        <v>8</v>
      </c>
      <c r="W9" s="1570">
        <f t="shared" si="2"/>
        <v>100</v>
      </c>
      <c r="X9" s="1571"/>
      <c r="Y9" s="3507"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SUMIF(53:53,E10,54:54)-SUMIF(53:53,C10,54:54)+100</f>
        <v>100</v>
      </c>
      <c r="G10" s="862"/>
      <c r="H10" s="255">
        <f>SUMIF(53:53,G10,54:54)-SUMIF(53:53,C10,54:54)+100</f>
        <v>100</v>
      </c>
      <c r="I10" s="861"/>
      <c r="J10" s="255">
        <f>SUMIF(53:53,I10,54:54)-SUMIF(53:53,C10,54:54)+100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2"/>
      <c r="B11" s="2838">
        <v>111</v>
      </c>
      <c r="C11" s="528"/>
      <c r="D11" s="255">
        <v>100</v>
      </c>
      <c r="E11" s="880"/>
      <c r="F11" s="255">
        <f>SUMIF(55:55,E11,56:56)-SUMIF(55:55,C11,56:56)+100</f>
        <v>100</v>
      </c>
      <c r="G11" s="880"/>
      <c r="H11" s="255">
        <f>SUMIF(55:55,G11,56:56)-SUMIF(55:55,C11,56:56)+100</f>
        <v>100</v>
      </c>
      <c r="I11" s="880"/>
      <c r="J11" s="255">
        <f>SUMIF(55:55,I11,56:56)-SUMIF(55:55,C11,56:56)+100</f>
        <v>100</v>
      </c>
      <c r="K11" s="581"/>
      <c r="L11" s="2038"/>
      <c r="M11" s="2032"/>
      <c r="N11" s="2032"/>
      <c r="O11" s="2039"/>
      <c r="P11" s="3550"/>
      <c r="Q11" s="1151">
        <f t="shared" si="6"/>
        <v>111</v>
      </c>
      <c r="R11" s="1569" t="s">
        <v>8</v>
      </c>
      <c r="S11" s="1570">
        <f t="shared" si="0"/>
        <v>100</v>
      </c>
      <c r="T11" s="1569" t="s">
        <v>8</v>
      </c>
      <c r="U11" s="1570">
        <f t="shared" si="1"/>
        <v>100</v>
      </c>
      <c r="V11" s="1569" t="s">
        <v>8</v>
      </c>
      <c r="W11" s="1570">
        <f t="shared" si="2"/>
        <v>100</v>
      </c>
      <c r="X11" s="1571"/>
      <c r="Y11" s="3507"/>
      <c r="Z11" s="1150">
        <f t="shared" si="7"/>
        <v>111</v>
      </c>
      <c r="AA11" s="1572">
        <f t="shared" si="3"/>
        <v>1</v>
      </c>
      <c r="AB11" s="1572">
        <f t="shared" si="4"/>
        <v>1</v>
      </c>
      <c r="AC11" s="1572">
        <f t="shared" si="5"/>
        <v>1</v>
      </c>
    </row>
    <row r="12" spans="1:29" s="1220" customFormat="1" ht="15">
      <c r="A12" s="2832"/>
      <c r="B12" s="2838">
        <v>111</v>
      </c>
      <c r="C12" s="528"/>
      <c r="D12" s="538">
        <v>100</v>
      </c>
      <c r="E12" s="880"/>
      <c r="F12" s="255">
        <f>SUMIF(57:57,E12,58:58)-SUMIF(57:57,C12,58:58)+100</f>
        <v>100</v>
      </c>
      <c r="G12" s="880"/>
      <c r="H12" s="255">
        <f>SUMIF(57:57,G12,58:58)-SUMIF(57:57,C12,58:58)+100</f>
        <v>100</v>
      </c>
      <c r="I12" s="880"/>
      <c r="J12" s="255">
        <f>SUMIF(57:57,I12,58:58)-SUMIF(57:57,C12,58:58)+100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75" thickBot="1">
      <c r="A13" s="2833"/>
      <c r="B13" s="2839">
        <v>111</v>
      </c>
      <c r="C13" s="539"/>
      <c r="D13" s="540">
        <v>100</v>
      </c>
      <c r="E13" s="880"/>
      <c r="F13" s="255">
        <f>SUMIF(59:59,E13,60:60)-SUMIF(59:59,C13,60:60)+100</f>
        <v>100</v>
      </c>
      <c r="G13" s="880"/>
      <c r="H13" s="540">
        <f>SUMIF(59:59,G13,60:60)-SUMIF(59:59,C13,60:60)+100</f>
        <v>100</v>
      </c>
      <c r="I13" s="880"/>
      <c r="J13" s="540">
        <f>SUMIF(59:59,I13,60:60)-SUMIF(59:59,C13,60:60)+100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
      <c r="A14" s="2825" t="s">
        <v>2753</v>
      </c>
      <c r="B14" s="166" t="s">
        <v>541</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040"/>
      <c r="M14" s="2032"/>
      <c r="N14" s="2032"/>
      <c r="O14" s="2039"/>
      <c r="P14" s="3552" t="s">
        <v>538</v>
      </c>
      <c r="Q14" s="1573" t="str">
        <f t="shared" si="6"/>
        <v>交通便捷度</v>
      </c>
      <c r="R14" s="1574" t="s">
        <v>8</v>
      </c>
      <c r="S14" s="1575">
        <f t="shared" si="0"/>
        <v>100</v>
      </c>
      <c r="T14" s="1574" t="s">
        <v>8</v>
      </c>
      <c r="U14" s="1575">
        <f t="shared" si="1"/>
        <v>100</v>
      </c>
      <c r="V14" s="1574" t="s">
        <v>8</v>
      </c>
      <c r="W14" s="1575">
        <f t="shared" si="2"/>
        <v>100</v>
      </c>
      <c r="X14" s="1568"/>
      <c r="Y14" s="3552"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040"/>
      <c r="M15" s="2032"/>
      <c r="N15" s="2032"/>
      <c r="O15" s="2039"/>
      <c r="P15" s="3553"/>
      <c r="Q15" s="1573"/>
      <c r="R15" s="1574"/>
      <c r="S15" s="1575"/>
      <c r="T15" s="1574"/>
      <c r="U15" s="1575"/>
      <c r="V15" s="1574"/>
      <c r="W15" s="1575"/>
      <c r="X15" s="1568"/>
      <c r="Y15" s="3553"/>
      <c r="Z15" s="1576"/>
      <c r="AA15" s="1577">
        <v>1</v>
      </c>
      <c r="AB15" s="1577">
        <v>1</v>
      </c>
      <c r="AC15" s="1577">
        <v>1</v>
      </c>
    </row>
    <row r="16" spans="1:29" ht="15">
      <c r="A16" s="532"/>
      <c r="B16" s="2522" t="s">
        <v>2543</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040"/>
      <c r="M16" s="2032"/>
      <c r="N16" s="2032"/>
      <c r="O16" s="2039"/>
      <c r="P16" s="3553"/>
      <c r="Q16" s="1573" t="str">
        <f>B16</f>
        <v>公共配套设施</v>
      </c>
      <c r="R16" s="1574" t="s">
        <v>8</v>
      </c>
      <c r="S16" s="1575">
        <f>F16</f>
        <v>100</v>
      </c>
      <c r="T16" s="1574" t="s">
        <v>8</v>
      </c>
      <c r="U16" s="1575">
        <f>H16</f>
        <v>100</v>
      </c>
      <c r="V16" s="1574" t="s">
        <v>8</v>
      </c>
      <c r="W16" s="1575">
        <f>J16</f>
        <v>100</v>
      </c>
      <c r="X16" s="1568"/>
      <c r="Y16" s="355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040"/>
      <c r="M17" s="2032"/>
      <c r="N17" s="2032"/>
      <c r="O17" s="2039"/>
      <c r="P17" s="3553"/>
      <c r="Q17" s="1573"/>
      <c r="R17" s="1574"/>
      <c r="S17" s="1575"/>
      <c r="T17" s="1574"/>
      <c r="U17" s="1575"/>
      <c r="V17" s="1574"/>
      <c r="W17" s="1575"/>
      <c r="X17" s="1568"/>
      <c r="Y17" s="3553"/>
      <c r="Z17" s="1576"/>
      <c r="AA17" s="1577">
        <v>1</v>
      </c>
      <c r="AB17" s="1577">
        <v>1</v>
      </c>
      <c r="AC17" s="1577">
        <v>1</v>
      </c>
    </row>
    <row r="18" spans="1:29" ht="15">
      <c r="A18" s="532"/>
      <c r="B18" s="2510" t="s">
        <v>2555</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040"/>
      <c r="M18" s="2032"/>
      <c r="N18" s="2032"/>
      <c r="O18" s="2039"/>
      <c r="P18" s="3553"/>
      <c r="Q18" s="2498" t="str">
        <f>B18</f>
        <v>基础设施水平</v>
      </c>
      <c r="R18" s="1574" t="s">
        <v>8</v>
      </c>
      <c r="S18" s="1575">
        <f>F18</f>
        <v>100</v>
      </c>
      <c r="T18" s="1574" t="s">
        <v>8</v>
      </c>
      <c r="U18" s="1575">
        <f>H18</f>
        <v>100</v>
      </c>
      <c r="V18" s="1574" t="s">
        <v>8</v>
      </c>
      <c r="W18" s="1575">
        <f>J18</f>
        <v>100</v>
      </c>
      <c r="X18" s="2500"/>
      <c r="Y18" s="3553"/>
      <c r="Z18" s="249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21"/>
      <c r="L19" s="2040"/>
      <c r="M19" s="2032"/>
      <c r="N19" s="2032"/>
      <c r="O19" s="2039"/>
      <c r="P19" s="3553"/>
      <c r="Q19" s="2498"/>
      <c r="R19" s="1574"/>
      <c r="S19" s="1575"/>
      <c r="T19" s="1574"/>
      <c r="U19" s="1575"/>
      <c r="V19" s="1574"/>
      <c r="W19" s="1575"/>
      <c r="X19" s="2500"/>
      <c r="Y19" s="3553"/>
      <c r="Z19" s="2499"/>
      <c r="AA19" s="1577">
        <v>1</v>
      </c>
      <c r="AB19" s="1577">
        <v>1</v>
      </c>
      <c r="AC19" s="1577">
        <v>1</v>
      </c>
    </row>
    <row r="20" spans="1:29" ht="15">
      <c r="A20" s="532"/>
      <c r="B20" s="871" t="s">
        <v>802</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040"/>
      <c r="M20" s="2032"/>
      <c r="N20" s="2032"/>
      <c r="O20" s="2039"/>
      <c r="P20" s="3553"/>
      <c r="Q20" s="1573" t="str">
        <f>B20</f>
        <v>自然及人文环境</v>
      </c>
      <c r="R20" s="1574" t="s">
        <v>8</v>
      </c>
      <c r="S20" s="1575">
        <f>F20</f>
        <v>100</v>
      </c>
      <c r="T20" s="1574" t="s">
        <v>8</v>
      </c>
      <c r="U20" s="1575">
        <f>H20</f>
        <v>100</v>
      </c>
      <c r="V20" s="1574" t="s">
        <v>8</v>
      </c>
      <c r="W20" s="1575">
        <f>J20</f>
        <v>100</v>
      </c>
      <c r="X20" s="1568"/>
      <c r="Y20" s="355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040"/>
      <c r="M21" s="2032"/>
      <c r="N21" s="2032"/>
      <c r="O21" s="2039"/>
      <c r="P21" s="3553"/>
      <c r="Q21" s="1573"/>
      <c r="R21" s="1574"/>
      <c r="S21" s="1575"/>
      <c r="T21" s="1574"/>
      <c r="U21" s="1575"/>
      <c r="V21" s="1574"/>
      <c r="W21" s="1575"/>
      <c r="X21" s="1568"/>
      <c r="Y21" s="3553"/>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040"/>
      <c r="M22" s="2032"/>
      <c r="N22" s="2032"/>
      <c r="O22" s="2039"/>
      <c r="P22" s="3553"/>
      <c r="Q22" s="1573" t="str">
        <f>B22</f>
        <v>楼层</v>
      </c>
      <c r="R22" s="1574" t="s">
        <v>8</v>
      </c>
      <c r="S22" s="1575">
        <f>F22</f>
        <v>100</v>
      </c>
      <c r="T22" s="1574" t="s">
        <v>8</v>
      </c>
      <c r="U22" s="1575">
        <f>H22</f>
        <v>100</v>
      </c>
      <c r="V22" s="1574" t="s">
        <v>8</v>
      </c>
      <c r="W22" s="1575">
        <f>J22</f>
        <v>100</v>
      </c>
      <c r="X22" s="1568"/>
      <c r="Y22" s="355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040"/>
      <c r="M23" s="2032"/>
      <c r="N23" s="2032"/>
      <c r="O23" s="2039"/>
      <c r="P23" s="3553"/>
      <c r="Q23" s="1573">
        <f>B23</f>
        <v>111</v>
      </c>
      <c r="R23" s="1574" t="s">
        <v>8</v>
      </c>
      <c r="S23" s="1575">
        <f>F23</f>
        <v>100</v>
      </c>
      <c r="T23" s="1574" t="s">
        <v>8</v>
      </c>
      <c r="U23" s="1575">
        <f>H23</f>
        <v>100</v>
      </c>
      <c r="V23" s="1574" t="s">
        <v>8</v>
      </c>
      <c r="W23" s="1575">
        <f>J23</f>
        <v>100</v>
      </c>
      <c r="X23" s="1568"/>
      <c r="Y23" s="355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040"/>
      <c r="M24" s="2032"/>
      <c r="N24" s="2032"/>
      <c r="O24" s="2039"/>
      <c r="P24" s="3553"/>
      <c r="Q24" s="1573">
        <f t="shared" ref="Q24:Q34" si="11">B24</f>
        <v>111</v>
      </c>
      <c r="R24" s="1574" t="s">
        <v>8</v>
      </c>
      <c r="S24" s="1575">
        <f>F24</f>
        <v>100</v>
      </c>
      <c r="T24" s="1574" t="s">
        <v>8</v>
      </c>
      <c r="U24" s="1575">
        <f>H24</f>
        <v>100</v>
      </c>
      <c r="V24" s="1574" t="s">
        <v>8</v>
      </c>
      <c r="W24" s="1575">
        <f>J24</f>
        <v>100</v>
      </c>
      <c r="X24" s="1568"/>
      <c r="Y24" s="355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033"/>
      <c r="M25" s="2034"/>
      <c r="N25" s="2034"/>
      <c r="O25" s="2035"/>
      <c r="P25" s="3553"/>
      <c r="Q25" s="1151">
        <f t="shared" si="11"/>
        <v>111</v>
      </c>
      <c r="R25" s="1569" t="s">
        <v>8</v>
      </c>
      <c r="S25" s="1570">
        <f>F25</f>
        <v>100</v>
      </c>
      <c r="T25" s="1569" t="s">
        <v>8</v>
      </c>
      <c r="U25" s="1570">
        <f>H25</f>
        <v>100</v>
      </c>
      <c r="V25" s="1569" t="s">
        <v>8</v>
      </c>
      <c r="W25" s="1570">
        <f>J25</f>
        <v>100</v>
      </c>
      <c r="X25" s="1571"/>
      <c r="Y25" s="3553"/>
      <c r="Z25" s="1150">
        <f>Q25</f>
        <v>111</v>
      </c>
      <c r="AA25" s="1577">
        <f>D25/F25</f>
        <v>1</v>
      </c>
      <c r="AB25" s="1577">
        <f>D25/H25</f>
        <v>1</v>
      </c>
      <c r="AC25" s="1577">
        <f>D25/J25</f>
        <v>1</v>
      </c>
    </row>
    <row r="26" spans="1:29" ht="15">
      <c r="A26" s="2822"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040"/>
      <c r="M26" s="2032"/>
      <c r="N26" s="2032"/>
      <c r="O26" s="2039"/>
      <c r="P26" s="3554"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55"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038"/>
      <c r="M27" s="2069"/>
      <c r="N27" s="2069"/>
      <c r="O27" s="2041"/>
      <c r="P27" s="3555"/>
      <c r="Q27" s="1606" t="str">
        <f t="shared" si="11"/>
        <v>成新率</v>
      </c>
      <c r="R27" s="1578" t="s">
        <v>8</v>
      </c>
      <c r="S27" s="1579" t="e">
        <f t="shared" si="12"/>
        <v>#N/A</v>
      </c>
      <c r="T27" s="1578" t="s">
        <v>8</v>
      </c>
      <c r="U27" s="1579" t="e">
        <f t="shared" si="13"/>
        <v>#N/A</v>
      </c>
      <c r="V27" s="1578" t="s">
        <v>8</v>
      </c>
      <c r="W27" s="1579" t="e">
        <f t="shared" si="14"/>
        <v>#N/A</v>
      </c>
      <c r="X27" s="1580"/>
      <c r="Y27" s="3555"/>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040"/>
      <c r="M28" s="2032"/>
      <c r="N28" s="2032"/>
      <c r="O28" s="2039"/>
      <c r="P28" s="3555"/>
      <c r="Q28" s="1573" t="str">
        <f t="shared" si="11"/>
        <v>物业等级</v>
      </c>
      <c r="R28" s="1574" t="s">
        <v>8</v>
      </c>
      <c r="S28" s="1575">
        <f t="shared" si="12"/>
        <v>100</v>
      </c>
      <c r="T28" s="1574" t="s">
        <v>8</v>
      </c>
      <c r="U28" s="1575">
        <f t="shared" si="13"/>
        <v>100</v>
      </c>
      <c r="V28" s="1574" t="s">
        <v>8</v>
      </c>
      <c r="W28" s="1575">
        <f t="shared" si="14"/>
        <v>100</v>
      </c>
      <c r="X28" s="1568"/>
      <c r="Y28" s="3555"/>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040"/>
      <c r="M29" s="2032"/>
      <c r="N29" s="2032"/>
      <c r="O29" s="2039"/>
      <c r="P29" s="3555"/>
      <c r="Q29" s="1573" t="str">
        <f t="shared" si="11"/>
        <v>有无电梯</v>
      </c>
      <c r="R29" s="1574" t="s">
        <v>8</v>
      </c>
      <c r="S29" s="1575">
        <f t="shared" si="12"/>
        <v>100</v>
      </c>
      <c r="T29" s="1574" t="s">
        <v>8</v>
      </c>
      <c r="U29" s="1575">
        <f t="shared" si="13"/>
        <v>100</v>
      </c>
      <c r="V29" s="1574" t="s">
        <v>8</v>
      </c>
      <c r="W29" s="1575">
        <f t="shared" si="14"/>
        <v>100</v>
      </c>
      <c r="X29" s="1568"/>
      <c r="Y29" s="3555"/>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040"/>
      <c r="M30" s="2032"/>
      <c r="N30" s="2032"/>
      <c r="O30" s="2039"/>
      <c r="P30" s="3555"/>
      <c r="Q30" s="1573" t="str">
        <f t="shared" si="11"/>
        <v>建筑面积</v>
      </c>
      <c r="R30" s="1574" t="s">
        <v>8</v>
      </c>
      <c r="S30" s="1575" t="e">
        <f t="shared" si="12"/>
        <v>#N/A</v>
      </c>
      <c r="T30" s="1574" t="s">
        <v>8</v>
      </c>
      <c r="U30" s="1575" t="e">
        <f t="shared" si="13"/>
        <v>#N/A</v>
      </c>
      <c r="V30" s="1574" t="s">
        <v>8</v>
      </c>
      <c r="W30" s="1575" t="e">
        <f t="shared" si="14"/>
        <v>#N/A</v>
      </c>
      <c r="X30" s="1568"/>
      <c r="Y30" s="3555"/>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033"/>
      <c r="M31" s="2034"/>
      <c r="N31" s="2034"/>
      <c r="O31" s="2035"/>
      <c r="P31" s="3555"/>
      <c r="Q31" s="1151" t="str">
        <f t="shared" si="11"/>
        <v>是否封闭</v>
      </c>
      <c r="R31" s="1569" t="s">
        <v>8</v>
      </c>
      <c r="S31" s="1570">
        <f t="shared" si="12"/>
        <v>100</v>
      </c>
      <c r="T31" s="1569" t="s">
        <v>8</v>
      </c>
      <c r="U31" s="1570">
        <f t="shared" si="13"/>
        <v>100</v>
      </c>
      <c r="V31" s="1569" t="s">
        <v>8</v>
      </c>
      <c r="W31" s="1570">
        <f t="shared" si="14"/>
        <v>100</v>
      </c>
      <c r="X31" s="1571"/>
      <c r="Y31" s="355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040"/>
      <c r="M32" s="2032"/>
      <c r="N32" s="2032"/>
      <c r="O32" s="2039"/>
      <c r="P32" s="3555" t="s">
        <v>548</v>
      </c>
      <c r="Q32" s="1573">
        <f t="shared" si="11"/>
        <v>111</v>
      </c>
      <c r="R32" s="1574" t="s">
        <v>8</v>
      </c>
      <c r="S32" s="1575">
        <f t="shared" si="12"/>
        <v>100</v>
      </c>
      <c r="T32" s="1574" t="s">
        <v>8</v>
      </c>
      <c r="U32" s="1575">
        <f t="shared" si="13"/>
        <v>100</v>
      </c>
      <c r="V32" s="1574" t="s">
        <v>8</v>
      </c>
      <c r="W32" s="1575">
        <f t="shared" si="14"/>
        <v>100</v>
      </c>
      <c r="X32" s="1568"/>
      <c r="Y32" s="3555"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040"/>
      <c r="M33" s="2032"/>
      <c r="N33" s="2032"/>
      <c r="O33" s="2039"/>
      <c r="P33" s="3555"/>
      <c r="Q33" s="1573">
        <f t="shared" si="11"/>
        <v>111</v>
      </c>
      <c r="R33" s="1574" t="s">
        <v>8</v>
      </c>
      <c r="S33" s="1575">
        <f t="shared" si="12"/>
        <v>100</v>
      </c>
      <c r="T33" s="1574" t="s">
        <v>8</v>
      </c>
      <c r="U33" s="1575">
        <f t="shared" si="13"/>
        <v>100</v>
      </c>
      <c r="V33" s="1574" t="s">
        <v>8</v>
      </c>
      <c r="W33" s="1575">
        <f t="shared" si="14"/>
        <v>100</v>
      </c>
      <c r="X33" s="1568"/>
      <c r="Y33" s="355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040"/>
      <c r="M34" s="2032"/>
      <c r="N34" s="2032"/>
      <c r="O34" s="2039"/>
      <c r="P34" s="3555"/>
      <c r="Q34" s="1573">
        <f t="shared" si="11"/>
        <v>111</v>
      </c>
      <c r="R34" s="1574" t="s">
        <v>8</v>
      </c>
      <c r="S34" s="1575">
        <f t="shared" si="12"/>
        <v>100</v>
      </c>
      <c r="T34" s="1574" t="s">
        <v>8</v>
      </c>
      <c r="U34" s="1575">
        <f t="shared" si="13"/>
        <v>100</v>
      </c>
      <c r="V34" s="1574" t="s">
        <v>8</v>
      </c>
      <c r="W34" s="1575">
        <f t="shared" si="14"/>
        <v>100</v>
      </c>
      <c r="X34" s="1568"/>
      <c r="Y34" s="3555"/>
      <c r="Z34" s="1576">
        <f t="shared" si="15"/>
        <v>111</v>
      </c>
      <c r="AA34" s="1577">
        <f t="shared" si="3"/>
        <v>1</v>
      </c>
      <c r="AB34" s="1577">
        <f t="shared" si="4"/>
        <v>1</v>
      </c>
      <c r="AC34" s="1577">
        <f t="shared" si="5"/>
        <v>1</v>
      </c>
    </row>
    <row r="35" spans="1:29" ht="15">
      <c r="A35" s="607" t="s">
        <v>734</v>
      </c>
      <c r="B35" s="887"/>
      <c r="C35" s="2546" t="s">
        <v>1</v>
      </c>
      <c r="D35" s="2547"/>
      <c r="E35" s="2548"/>
      <c r="F35" s="2549"/>
      <c r="G35" s="2550"/>
      <c r="H35" s="2551"/>
      <c r="I35" s="2548"/>
      <c r="J35" s="2551"/>
      <c r="K35" s="1612"/>
      <c r="L35" s="2042"/>
      <c r="M35" s="2043"/>
      <c r="N35" s="2032"/>
      <c r="O35" s="2043"/>
      <c r="P35" s="3550" t="str">
        <f>A35</f>
        <v>成交单价（元/平方米）</v>
      </c>
      <c r="Q35" s="3550"/>
      <c r="R35" s="3656">
        <f>E35</f>
        <v>0</v>
      </c>
      <c r="S35" s="3656"/>
      <c r="T35" s="3656">
        <f>G35</f>
        <v>0</v>
      </c>
      <c r="U35" s="3656"/>
      <c r="V35" s="3656">
        <f>I35</f>
        <v>0</v>
      </c>
      <c r="W35" s="3656"/>
      <c r="X35" s="1560"/>
      <c r="Y35" s="1582"/>
      <c r="Z35" s="1560"/>
      <c r="AA35" s="1560"/>
      <c r="AB35" s="1560"/>
      <c r="AC35" s="1560"/>
    </row>
    <row r="36" spans="1:29" ht="15.75" thickBot="1">
      <c r="A36" s="615" t="s">
        <v>2759</v>
      </c>
      <c r="B36" s="888"/>
      <c r="C36" s="2552" t="e">
        <f>R37</f>
        <v>#DIV/0!</v>
      </c>
      <c r="D36" s="2553"/>
      <c r="E36" s="2554" t="e">
        <f>R36</f>
        <v>#DIV/0!</v>
      </c>
      <c r="F36" s="2554"/>
      <c r="G36" s="2552" t="e">
        <f>T36</f>
        <v>#DIV/0!</v>
      </c>
      <c r="H36" s="2553"/>
      <c r="I36" s="2554" t="e">
        <f>V36</f>
        <v>#DIV/0!</v>
      </c>
      <c r="J36" s="2553"/>
      <c r="K36" s="1613"/>
      <c r="L36" s="2042"/>
      <c r="M36" s="2043"/>
      <c r="N36" s="2032"/>
      <c r="O36" s="2043"/>
      <c r="P36" s="3550" t="str">
        <f>A36</f>
        <v>比较价格（元/平方米）</v>
      </c>
      <c r="Q36" s="3550"/>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560"/>
      <c r="Y36" s="1560"/>
      <c r="Z36" s="1560"/>
      <c r="AA36" s="1560"/>
      <c r="AB36" s="1560"/>
      <c r="AC36" s="1560"/>
    </row>
    <row r="37" spans="1:29" ht="15.75" thickBot="1">
      <c r="A37" s="621" t="s">
        <v>2922</v>
      </c>
      <c r="B37" s="622"/>
      <c r="C37" s="2555" t="e">
        <f>R37</f>
        <v>#DIV/0!</v>
      </c>
      <c r="D37" s="2555"/>
      <c r="E37" s="2555"/>
      <c r="F37" s="2555"/>
      <c r="G37" s="2555"/>
      <c r="H37" s="2555"/>
      <c r="I37" s="2555"/>
      <c r="J37" s="2555"/>
      <c r="K37" s="1614"/>
      <c r="L37" s="2042"/>
      <c r="M37" s="2043"/>
      <c r="N37" s="2043"/>
      <c r="O37" s="2043"/>
      <c r="P37" s="3570" t="str">
        <f>A37</f>
        <v>估价对象XX用房的比较价格（楼面单价，元/平方米）</v>
      </c>
      <c r="Q37" s="3571"/>
      <c r="R37" s="3655" t="e">
        <f>IF(F1="售价",ROUND(AVERAGE(R36:V36),0),ROUND(AVERAGE(R36:V36),1))</f>
        <v>#DIV/0!</v>
      </c>
      <c r="S37" s="3655"/>
      <c r="T37" s="3655"/>
      <c r="U37" s="3655"/>
      <c r="V37" s="3655"/>
      <c r="W37" s="3655"/>
      <c r="X37" s="1560"/>
      <c r="Y37" s="1560"/>
      <c r="Z37" s="1560"/>
      <c r="AA37" s="1560"/>
      <c r="AB37" s="1560"/>
      <c r="AC37" s="1560"/>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345" customFormat="1" ht="13.5" customHeight="1">
      <c r="A42" s="2044"/>
      <c r="B42" s="2044"/>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3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585" t="s">
        <v>572</v>
      </c>
      <c r="B45" s="1560"/>
      <c r="C45" s="1584"/>
      <c r="D45" s="1584"/>
      <c r="E45" s="1584"/>
      <c r="F45" s="1586"/>
      <c r="G45" s="1586"/>
      <c r="H45" s="1584"/>
      <c r="I45" s="1584"/>
      <c r="J45" s="1584"/>
      <c r="K45" s="1587"/>
      <c r="L45" s="1583"/>
      <c r="M45" s="1584"/>
      <c r="N45" s="1584"/>
      <c r="O45" s="1584"/>
      <c r="P45" s="2055"/>
      <c r="Q45" s="2056"/>
      <c r="R45" s="2043"/>
      <c r="S45" s="2043"/>
      <c r="T45" s="2043"/>
      <c r="U45" s="2043"/>
      <c r="V45" s="2043"/>
      <c r="W45" s="2043"/>
      <c r="X45" s="2043"/>
      <c r="Y45" s="2043"/>
      <c r="Z45" s="2043"/>
      <c r="AA45" s="2043"/>
      <c r="AB45" s="2043"/>
      <c r="AC45" s="2043"/>
    </row>
    <row r="46" spans="1:29" s="1347" customFormat="1" ht="15">
      <c r="A46" s="645" t="s">
        <v>527</v>
      </c>
      <c r="B46" s="646"/>
      <c r="C46" s="2717" t="str">
        <f>YEAR(C7)&amp;"-"&amp;MONTH(C7)</f>
        <v>2017-12</v>
      </c>
      <c r="D46" s="2719">
        <f>EDATE(C46,-1)</f>
        <v>43040</v>
      </c>
      <c r="E46" s="2719">
        <f t="shared" ref="E46:O46" si="16">EDATE(D46,-1)</f>
        <v>43009</v>
      </c>
      <c r="F46" s="2719">
        <f t="shared" si="16"/>
        <v>42979</v>
      </c>
      <c r="G46" s="2719">
        <f t="shared" si="16"/>
        <v>42948</v>
      </c>
      <c r="H46" s="2719">
        <f t="shared" si="16"/>
        <v>42917</v>
      </c>
      <c r="I46" s="2719">
        <f t="shared" si="16"/>
        <v>42887</v>
      </c>
      <c r="J46" s="2719">
        <f t="shared" si="16"/>
        <v>42856</v>
      </c>
      <c r="K46" s="2719">
        <f t="shared" si="16"/>
        <v>42826</v>
      </c>
      <c r="L46" s="2719">
        <f t="shared" si="16"/>
        <v>42795</v>
      </c>
      <c r="M46" s="2719">
        <f t="shared" si="16"/>
        <v>42767</v>
      </c>
      <c r="N46" s="2719">
        <f t="shared" si="16"/>
        <v>42736</v>
      </c>
      <c r="O46" s="2719">
        <f t="shared" si="16"/>
        <v>42705</v>
      </c>
      <c r="P46" s="2058"/>
      <c r="Q46" s="2059"/>
      <c r="R46" s="2059"/>
      <c r="S46" s="2059"/>
      <c r="T46" s="2059"/>
      <c r="U46" s="2059"/>
      <c r="V46" s="2059"/>
      <c r="W46" s="2059"/>
      <c r="X46" s="2059"/>
      <c r="Y46" s="2059"/>
      <c r="Z46" s="2059"/>
      <c r="AA46" s="2059"/>
      <c r="AB46" s="2059"/>
      <c r="AC46" s="2059"/>
    </row>
    <row r="47" spans="1:29" s="1220" customFormat="1" ht="15">
      <c r="A47" s="647"/>
      <c r="B47" s="648"/>
      <c r="C47" s="649">
        <v>100</v>
      </c>
      <c r="D47" s="650"/>
      <c r="E47" s="650"/>
      <c r="F47" s="650"/>
      <c r="G47" s="650"/>
      <c r="H47" s="650"/>
      <c r="I47" s="650"/>
      <c r="J47" s="650"/>
      <c r="K47" s="650"/>
      <c r="L47" s="650"/>
      <c r="M47" s="651"/>
      <c r="N47" s="650"/>
      <c r="O47" s="652"/>
      <c r="P47" s="2056"/>
      <c r="Q47" s="1891"/>
      <c r="R47" s="1891"/>
      <c r="S47" s="1891"/>
      <c r="T47" s="1891"/>
      <c r="U47" s="1891"/>
      <c r="V47" s="1891"/>
      <c r="W47" s="1891"/>
      <c r="X47" s="1891"/>
      <c r="Y47" s="1891"/>
      <c r="Z47" s="1891"/>
      <c r="AA47" s="1891"/>
      <c r="AB47" s="1891"/>
      <c r="AC47" s="1891"/>
    </row>
    <row r="48" spans="1:29" s="1220" customFormat="1" ht="15.75" thickBot="1">
      <c r="A48" s="653" t="s">
        <v>573</v>
      </c>
      <c r="B48" s="654"/>
      <c r="C48" s="655"/>
      <c r="D48" s="656"/>
      <c r="E48" s="656"/>
      <c r="F48" s="656"/>
      <c r="G48" s="656"/>
      <c r="H48" s="656"/>
      <c r="I48" s="656"/>
      <c r="J48" s="656"/>
      <c r="K48" s="656"/>
      <c r="L48" s="656"/>
      <c r="M48" s="657"/>
      <c r="N48" s="656"/>
      <c r="O48" s="658"/>
      <c r="P48" s="2056"/>
      <c r="Q48" s="2056"/>
      <c r="R48" s="1891"/>
      <c r="S48" s="1891"/>
      <c r="T48" s="1891"/>
      <c r="U48" s="1891"/>
      <c r="V48" s="1891"/>
      <c r="W48" s="1891"/>
      <c r="X48" s="1891"/>
      <c r="Y48" s="1891"/>
      <c r="Z48" s="1891"/>
      <c r="AA48" s="1891"/>
      <c r="AB48" s="1891"/>
      <c r="AC48" s="1891"/>
    </row>
    <row r="49" spans="1:29" s="1220" customFormat="1" ht="15">
      <c r="A49" s="659" t="s">
        <v>529</v>
      </c>
      <c r="B49" s="648"/>
      <c r="C49" s="660" t="s">
        <v>574</v>
      </c>
      <c r="D49" s="661"/>
      <c r="E49" s="661"/>
      <c r="F49" s="661"/>
      <c r="G49" s="661"/>
      <c r="H49" s="661"/>
      <c r="I49" s="661"/>
      <c r="J49" s="661"/>
      <c r="K49" s="661"/>
      <c r="L49" s="662"/>
      <c r="M49" s="663"/>
      <c r="N49" s="2060"/>
      <c r="O49" s="2060"/>
      <c r="P49" s="2061"/>
      <c r="Q49" s="2056"/>
      <c r="R49" s="1891"/>
      <c r="S49" s="1891"/>
      <c r="T49" s="1891"/>
      <c r="U49" s="1891"/>
      <c r="V49" s="1891"/>
      <c r="W49" s="1891"/>
      <c r="X49" s="1891"/>
      <c r="Y49" s="1891"/>
      <c r="Z49" s="1891"/>
      <c r="AA49" s="1891"/>
      <c r="AB49" s="1891"/>
      <c r="AC49" s="1891"/>
    </row>
    <row r="50" spans="1:29" s="1220" customFormat="1" ht="15.75" thickBot="1">
      <c r="A50" s="659"/>
      <c r="B50" s="648"/>
      <c r="C50" s="649">
        <v>100</v>
      </c>
      <c r="D50" s="650"/>
      <c r="E50" s="650"/>
      <c r="F50" s="650"/>
      <c r="G50" s="650"/>
      <c r="H50" s="650"/>
      <c r="I50" s="650"/>
      <c r="J50" s="650"/>
      <c r="K50" s="650"/>
      <c r="L50" s="650"/>
      <c r="M50" s="652"/>
      <c r="N50" s="2060"/>
      <c r="O50" s="2060"/>
      <c r="P50" s="2056"/>
      <c r="Q50" s="2056"/>
      <c r="R50" s="1891"/>
      <c r="S50" s="1891"/>
      <c r="T50" s="1891"/>
      <c r="U50" s="1891"/>
      <c r="V50" s="1891"/>
      <c r="W50" s="1891"/>
      <c r="X50" s="1891"/>
      <c r="Y50" s="1891"/>
      <c r="Z50" s="1891"/>
      <c r="AA50" s="1891"/>
      <c r="AB50" s="1891"/>
      <c r="AC50" s="1891"/>
    </row>
    <row r="51" spans="1:29">
      <c r="A51" s="664" t="s">
        <v>575</v>
      </c>
      <c r="B51" s="665" t="s">
        <v>532</v>
      </c>
      <c r="C51" s="704">
        <f>C9</f>
        <v>0</v>
      </c>
      <c r="D51" s="598"/>
      <c r="E51" s="598"/>
      <c r="F51" s="598"/>
      <c r="G51" s="598"/>
      <c r="H51" s="598"/>
      <c r="I51" s="598"/>
      <c r="J51" s="598"/>
      <c r="K51" s="666"/>
      <c r="L51" s="667"/>
      <c r="M51" s="668"/>
      <c r="N51" s="2062"/>
      <c r="O51" s="2062"/>
      <c r="P51" s="2063"/>
      <c r="Q51" s="2056"/>
      <c r="R51" s="2043"/>
      <c r="S51" s="2043"/>
      <c r="T51" s="2043"/>
      <c r="U51" s="2043"/>
      <c r="V51" s="2043"/>
      <c r="W51" s="2043"/>
      <c r="X51" s="2043"/>
      <c r="Y51" s="2043"/>
      <c r="Z51" s="2043"/>
      <c r="AA51" s="2043"/>
      <c r="AB51" s="2043"/>
      <c r="AC51" s="2043"/>
    </row>
    <row r="52" spans="1:29" ht="15.75" thickBot="1">
      <c r="A52" s="669"/>
      <c r="B52" s="670"/>
      <c r="C52" s="671">
        <v>100</v>
      </c>
      <c r="D52" s="671"/>
      <c r="E52" s="671"/>
      <c r="F52" s="671"/>
      <c r="G52" s="671"/>
      <c r="H52" s="671"/>
      <c r="I52" s="671"/>
      <c r="J52" s="671"/>
      <c r="K52" s="671"/>
      <c r="L52" s="671"/>
      <c r="M52" s="672"/>
      <c r="N52" s="2064"/>
      <c r="O52" s="2064"/>
      <c r="P52" s="2063"/>
      <c r="Q52" s="2056"/>
      <c r="R52" s="2043"/>
      <c r="S52" s="2043"/>
      <c r="T52" s="2043"/>
      <c r="U52" s="2043"/>
      <c r="V52" s="2043"/>
      <c r="W52" s="2043"/>
      <c r="X52" s="2043"/>
      <c r="Y52" s="2043"/>
      <c r="Z52" s="2043"/>
      <c r="AA52" s="2043"/>
      <c r="AB52" s="2043"/>
      <c r="AC52" s="2043"/>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062"/>
      <c r="O53" s="2062"/>
      <c r="P53" s="2063"/>
      <c r="Q53" s="2056"/>
      <c r="R53" s="2043"/>
      <c r="S53" s="2043"/>
      <c r="T53" s="2043"/>
      <c r="U53" s="2043"/>
      <c r="V53" s="2043"/>
      <c r="W53" s="2043"/>
      <c r="X53" s="2043"/>
      <c r="Y53" s="2043"/>
      <c r="Z53" s="2043"/>
      <c r="AA53" s="2043"/>
      <c r="AB53" s="2043"/>
      <c r="AC53" s="20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064"/>
      <c r="O54" s="2064"/>
      <c r="P54" s="2063"/>
      <c r="Q54" s="2056"/>
      <c r="R54" s="2043"/>
      <c r="S54" s="2043"/>
      <c r="T54" s="2043"/>
      <c r="U54" s="2043"/>
      <c r="V54" s="2043"/>
      <c r="W54" s="2043"/>
      <c r="X54" s="2043"/>
      <c r="Y54" s="2043"/>
      <c r="Z54" s="2043"/>
      <c r="AA54" s="2043"/>
      <c r="AB54" s="2043"/>
      <c r="AC54" s="2043"/>
    </row>
    <row r="55" spans="1:29" ht="15.75" thickTop="1">
      <c r="A55" s="669"/>
      <c r="B55" s="935">
        <f>B11</f>
        <v>111</v>
      </c>
      <c r="C55" s="541"/>
      <c r="D55" s="541"/>
      <c r="E55" s="541"/>
      <c r="F55" s="541"/>
      <c r="G55" s="541"/>
      <c r="H55" s="541"/>
      <c r="I55" s="541"/>
      <c r="J55" s="541"/>
      <c r="K55" s="684"/>
      <c r="L55" s="685"/>
      <c r="M55" s="686"/>
      <c r="N55" s="2062"/>
      <c r="O55" s="2062"/>
      <c r="P55" s="2063"/>
      <c r="Q55" s="2056"/>
      <c r="R55" s="2043"/>
      <c r="S55" s="2043"/>
      <c r="T55" s="2043"/>
      <c r="U55" s="2043"/>
      <c r="V55" s="2043"/>
      <c r="W55" s="2043"/>
      <c r="X55" s="2043"/>
      <c r="Y55" s="2043"/>
      <c r="Z55" s="2043"/>
      <c r="AA55" s="2043"/>
      <c r="AB55" s="2043"/>
      <c r="AC55" s="2043"/>
    </row>
    <row r="56" spans="1:29" ht="15.75" thickBot="1">
      <c r="A56" s="669"/>
      <c r="B56" s="670"/>
      <c r="C56" s="692"/>
      <c r="D56" s="671"/>
      <c r="E56" s="671"/>
      <c r="F56" s="671"/>
      <c r="G56" s="671"/>
      <c r="H56" s="671"/>
      <c r="I56" s="671"/>
      <c r="J56" s="671"/>
      <c r="K56" s="671"/>
      <c r="L56" s="671"/>
      <c r="M56" s="672"/>
      <c r="N56" s="2064"/>
      <c r="O56" s="2064"/>
      <c r="P56" s="2063"/>
      <c r="Q56" s="2056"/>
      <c r="R56" s="2043"/>
      <c r="S56" s="2043"/>
      <c r="T56" s="2043"/>
      <c r="U56" s="2043"/>
      <c r="V56" s="2043"/>
      <c r="W56" s="2043"/>
      <c r="X56" s="2043"/>
      <c r="Y56" s="2043"/>
      <c r="Z56" s="2043"/>
      <c r="AA56" s="2043"/>
      <c r="AB56" s="2043"/>
      <c r="AC56" s="2043"/>
    </row>
    <row r="57" spans="1:29" s="1339" customFormat="1" ht="15.75" thickTop="1">
      <c r="A57" s="687"/>
      <c r="B57" s="673">
        <f>B12</f>
        <v>111</v>
      </c>
      <c r="C57" s="541"/>
      <c r="D57" s="541"/>
      <c r="E57" s="541"/>
      <c r="F57" s="541"/>
      <c r="G57" s="688"/>
      <c r="H57" s="689"/>
      <c r="I57" s="689"/>
      <c r="J57" s="689"/>
      <c r="K57" s="689"/>
      <c r="L57" s="690"/>
      <c r="M57" s="691"/>
      <c r="N57" s="2065"/>
      <c r="O57" s="2065"/>
      <c r="P57" s="2066"/>
      <c r="Q57" s="2067"/>
      <c r="R57" s="2068"/>
      <c r="S57" s="2068"/>
      <c r="T57" s="2068"/>
      <c r="U57" s="2068"/>
      <c r="V57" s="2068"/>
      <c r="W57" s="2068"/>
      <c r="X57" s="2068"/>
      <c r="Y57" s="2068"/>
      <c r="Z57" s="2068"/>
      <c r="AA57" s="2068"/>
      <c r="AB57" s="2068"/>
      <c r="AC57" s="2068"/>
    </row>
    <row r="58" spans="1:29" s="1339" customFormat="1" ht="15.75" thickBot="1">
      <c r="A58" s="687"/>
      <c r="B58" s="678"/>
      <c r="C58" s="692"/>
      <c r="D58" s="671"/>
      <c r="E58" s="671"/>
      <c r="F58" s="671"/>
      <c r="G58" s="671"/>
      <c r="H58" s="671"/>
      <c r="I58" s="671"/>
      <c r="J58" s="671"/>
      <c r="K58" s="671"/>
      <c r="L58" s="671"/>
      <c r="M58" s="672"/>
      <c r="N58" s="2064"/>
      <c r="O58" s="2064"/>
      <c r="P58" s="2066"/>
      <c r="Q58" s="2067"/>
      <c r="R58" s="2068"/>
      <c r="S58" s="2068"/>
      <c r="T58" s="2068"/>
      <c r="U58" s="2068"/>
      <c r="V58" s="2068"/>
      <c r="W58" s="2068"/>
      <c r="X58" s="2068"/>
      <c r="Y58" s="2068"/>
      <c r="Z58" s="2068"/>
      <c r="AA58" s="2068"/>
      <c r="AB58" s="2068"/>
      <c r="AC58" s="2068"/>
    </row>
    <row r="59" spans="1:29" s="1339" customFormat="1" ht="15.75" thickTop="1">
      <c r="A59" s="687"/>
      <c r="B59" s="673">
        <f>B13</f>
        <v>111</v>
      </c>
      <c r="C59" s="541"/>
      <c r="D59" s="541"/>
      <c r="E59" s="541"/>
      <c r="F59" s="541"/>
      <c r="G59" s="688"/>
      <c r="H59" s="689"/>
      <c r="I59" s="689"/>
      <c r="J59" s="689"/>
      <c r="K59" s="689"/>
      <c r="L59" s="690"/>
      <c r="M59" s="691"/>
      <c r="N59" s="2065"/>
      <c r="O59" s="2065"/>
      <c r="P59" s="2069"/>
      <c r="Q59" s="2070"/>
      <c r="R59" s="2068"/>
      <c r="S59" s="2068"/>
      <c r="T59" s="2068"/>
      <c r="U59" s="2068"/>
      <c r="V59" s="2068"/>
      <c r="W59" s="2068"/>
      <c r="X59" s="2068"/>
      <c r="Y59" s="2068"/>
      <c r="Z59" s="2068"/>
      <c r="AA59" s="2068"/>
      <c r="AB59" s="2068"/>
      <c r="AC59" s="2068"/>
    </row>
    <row r="60" spans="1:29" s="1339" customFormat="1" ht="15.75" thickBot="1">
      <c r="A60" s="687"/>
      <c r="B60" s="678"/>
      <c r="C60" s="692"/>
      <c r="D60" s="692"/>
      <c r="E60" s="692"/>
      <c r="F60" s="692"/>
      <c r="G60" s="692"/>
      <c r="H60" s="693"/>
      <c r="I60" s="693"/>
      <c r="J60" s="693"/>
      <c r="K60" s="693"/>
      <c r="L60" s="693"/>
      <c r="M60" s="694"/>
      <c r="N60" s="2065"/>
      <c r="O60" s="2065"/>
      <c r="P60" s="2066"/>
      <c r="Q60" s="2067"/>
      <c r="R60" s="2068"/>
      <c r="S60" s="2068"/>
      <c r="T60" s="2068"/>
      <c r="U60" s="2068"/>
      <c r="V60" s="2068"/>
      <c r="W60" s="2068"/>
      <c r="X60" s="2068"/>
      <c r="Y60" s="2068"/>
      <c r="Z60" s="2068"/>
      <c r="AA60" s="2068"/>
      <c r="AB60" s="2068"/>
      <c r="AC60" s="2068"/>
    </row>
    <row r="61" spans="1:29" ht="15" thickTop="1">
      <c r="A61" s="664" t="s">
        <v>537</v>
      </c>
      <c r="B61" s="665" t="s">
        <v>584</v>
      </c>
      <c r="C61" s="703" t="s">
        <v>577</v>
      </c>
      <c r="D61" s="703" t="s">
        <v>578</v>
      </c>
      <c r="E61" s="703" t="s">
        <v>579</v>
      </c>
      <c r="F61" s="703" t="s">
        <v>580</v>
      </c>
      <c r="G61" s="703" t="s">
        <v>581</v>
      </c>
      <c r="H61" s="704"/>
      <c r="I61" s="704"/>
      <c r="J61" s="704"/>
      <c r="K61" s="705"/>
      <c r="L61" s="706"/>
      <c r="M61" s="707"/>
      <c r="N61" s="2062"/>
      <c r="O61" s="2062"/>
      <c r="P61" s="2072"/>
      <c r="Q61" s="2056"/>
      <c r="R61" s="2043"/>
      <c r="S61" s="2043"/>
      <c r="T61" s="2043"/>
      <c r="U61" s="2043"/>
      <c r="V61" s="2043"/>
      <c r="W61" s="2043"/>
      <c r="X61" s="2043"/>
      <c r="Y61" s="2043"/>
      <c r="Z61" s="2043"/>
      <c r="AA61" s="2043"/>
      <c r="AB61" s="2043"/>
      <c r="AC61" s="20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064"/>
      <c r="O62" s="2064"/>
      <c r="P62" s="2063"/>
      <c r="Q62" s="2056"/>
      <c r="R62" s="2043"/>
      <c r="S62" s="2043"/>
      <c r="T62" s="2043"/>
      <c r="U62" s="2043"/>
      <c r="V62" s="2043"/>
      <c r="W62" s="2043"/>
      <c r="X62" s="2043"/>
      <c r="Y62" s="2043"/>
      <c r="Z62" s="2043"/>
      <c r="AA62" s="2043"/>
      <c r="AB62" s="2043"/>
      <c r="AC62" s="2043"/>
    </row>
    <row r="63" spans="1:29" ht="15.75" thickTop="1">
      <c r="A63" s="669"/>
      <c r="B63" s="1794" t="s">
        <v>2554</v>
      </c>
      <c r="C63" s="708" t="s">
        <v>577</v>
      </c>
      <c r="D63" s="708" t="s">
        <v>578</v>
      </c>
      <c r="E63" s="708" t="s">
        <v>579</v>
      </c>
      <c r="F63" s="708" t="s">
        <v>580</v>
      </c>
      <c r="G63" s="708" t="s">
        <v>581</v>
      </c>
      <c r="H63" s="674"/>
      <c r="I63" s="674"/>
      <c r="J63" s="674"/>
      <c r="K63" s="675"/>
      <c r="L63" s="676"/>
      <c r="M63" s="677"/>
      <c r="N63" s="2062"/>
      <c r="O63" s="2062"/>
      <c r="P63" s="2063"/>
      <c r="Q63" s="2056"/>
      <c r="R63" s="2043"/>
      <c r="S63" s="2043"/>
      <c r="T63" s="2043"/>
      <c r="U63" s="2043"/>
      <c r="V63" s="2043"/>
      <c r="W63" s="2043"/>
      <c r="X63" s="2043"/>
      <c r="Y63" s="2043"/>
      <c r="Z63" s="2043"/>
      <c r="AA63" s="2043"/>
      <c r="AB63" s="2043"/>
      <c r="AC63" s="20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2516" t="s">
        <v>2555</v>
      </c>
      <c r="C65" s="2517" t="s">
        <v>2556</v>
      </c>
      <c r="D65" s="2517" t="s">
        <v>2557</v>
      </c>
      <c r="E65" s="2517" t="s">
        <v>2558</v>
      </c>
      <c r="F65" s="2517" t="s">
        <v>2559</v>
      </c>
      <c r="G65" s="2517" t="s">
        <v>2560</v>
      </c>
      <c r="H65" s="674"/>
      <c r="I65" s="674"/>
      <c r="J65" s="674"/>
      <c r="K65" s="674"/>
      <c r="L65" s="674"/>
      <c r="M65" s="2520"/>
      <c r="N65" s="2064"/>
      <c r="O65" s="2064"/>
      <c r="P65" s="2063"/>
      <c r="Q65" s="2056"/>
      <c r="R65" s="2043"/>
      <c r="S65" s="2043"/>
      <c r="T65" s="2043"/>
      <c r="U65" s="2043"/>
      <c r="V65" s="2043"/>
      <c r="W65" s="2043"/>
      <c r="X65" s="2043"/>
      <c r="Y65" s="2043"/>
      <c r="Z65" s="2043"/>
      <c r="AA65" s="2043"/>
      <c r="AB65" s="2043"/>
      <c r="AC65" s="20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064"/>
      <c r="O66" s="2064"/>
      <c r="P66" s="2063"/>
      <c r="Q66" s="2056"/>
      <c r="R66" s="2043"/>
      <c r="S66" s="2043"/>
      <c r="T66" s="2043"/>
      <c r="U66" s="2043"/>
      <c r="V66" s="2043"/>
      <c r="W66" s="2043"/>
      <c r="X66" s="2043"/>
      <c r="Y66" s="2043"/>
      <c r="Z66" s="2043"/>
      <c r="AA66" s="2043"/>
      <c r="AB66" s="2043"/>
      <c r="AC66" s="2043"/>
    </row>
    <row r="67" spans="1:29" ht="15.75" thickTop="1">
      <c r="A67" s="669"/>
      <c r="B67" s="673" t="s">
        <v>742</v>
      </c>
      <c r="C67" s="708" t="s">
        <v>577</v>
      </c>
      <c r="D67" s="708" t="s">
        <v>578</v>
      </c>
      <c r="E67" s="708" t="s">
        <v>579</v>
      </c>
      <c r="F67" s="708" t="s">
        <v>580</v>
      </c>
      <c r="G67" s="708" t="s">
        <v>581</v>
      </c>
      <c r="H67" s="674"/>
      <c r="I67" s="674"/>
      <c r="J67" s="674"/>
      <c r="K67" s="675"/>
      <c r="L67" s="676"/>
      <c r="M67" s="677"/>
      <c r="N67" s="2062"/>
      <c r="O67" s="2062"/>
      <c r="P67" s="2063"/>
      <c r="Q67" s="2056"/>
      <c r="R67" s="2043"/>
      <c r="S67" s="2043"/>
      <c r="T67" s="2043"/>
      <c r="U67" s="2043"/>
      <c r="V67" s="2043"/>
      <c r="W67" s="2043"/>
      <c r="X67" s="2043"/>
      <c r="Y67" s="2043"/>
      <c r="Z67" s="2043"/>
      <c r="AA67" s="2043"/>
      <c r="AB67" s="2043"/>
      <c r="AC67" s="20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743</v>
      </c>
      <c r="C69" s="688"/>
      <c r="D69" s="688"/>
      <c r="E69" s="688"/>
      <c r="F69" s="688"/>
      <c r="G69" s="688"/>
      <c r="H69" s="718"/>
      <c r="I69" s="718"/>
      <c r="J69" s="718"/>
      <c r="K69" s="719"/>
      <c r="L69" s="720"/>
      <c r="M69" s="721"/>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C70-$K22</f>
        <v>100</v>
      </c>
      <c r="E70" s="679"/>
      <c r="F70" s="679"/>
      <c r="G70" s="679"/>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s="1220" customFormat="1" ht="15.75" thickTop="1">
      <c r="A71" s="709"/>
      <c r="B71" s="673">
        <f>B23</f>
        <v>111</v>
      </c>
      <c r="C71" s="541"/>
      <c r="D71" s="541"/>
      <c r="E71" s="541"/>
      <c r="F71" s="541"/>
      <c r="G71" s="688"/>
      <c r="H71" s="688"/>
      <c r="I71" s="688"/>
      <c r="J71" s="688"/>
      <c r="K71" s="688"/>
      <c r="L71" s="890"/>
      <c r="M71" s="891"/>
      <c r="N71" s="2060"/>
      <c r="O71" s="2060"/>
      <c r="P71" s="2063"/>
      <c r="Q71" s="2056"/>
      <c r="R71" s="1891"/>
      <c r="S71" s="1891"/>
      <c r="T71" s="1891"/>
      <c r="U71" s="1891"/>
      <c r="V71" s="1891"/>
      <c r="W71" s="1891"/>
      <c r="X71" s="1891"/>
      <c r="Y71" s="1891"/>
      <c r="Z71" s="1891"/>
      <c r="AA71" s="1891"/>
      <c r="AB71" s="1891"/>
      <c r="AC71" s="1891"/>
    </row>
    <row r="72" spans="1:29" s="1220" customFormat="1" ht="15.75" thickBot="1">
      <c r="A72" s="709"/>
      <c r="B72" s="678"/>
      <c r="C72" s="692"/>
      <c r="D72" s="671"/>
      <c r="E72" s="671"/>
      <c r="F72" s="671"/>
      <c r="G72" s="671"/>
      <c r="H72" s="671"/>
      <c r="I72" s="671"/>
      <c r="J72" s="671"/>
      <c r="K72" s="671"/>
      <c r="L72" s="671"/>
      <c r="M72" s="672"/>
      <c r="N72" s="2064"/>
      <c r="O72" s="2064"/>
      <c r="P72" s="2063"/>
      <c r="Q72" s="2056"/>
      <c r="R72" s="1891"/>
      <c r="S72" s="1891"/>
      <c r="T72" s="1891"/>
      <c r="U72" s="1891"/>
      <c r="V72" s="1891"/>
      <c r="W72" s="1891"/>
      <c r="X72" s="1891"/>
      <c r="Y72" s="1891"/>
      <c r="Z72" s="1891"/>
      <c r="AA72" s="1891"/>
      <c r="AB72" s="1891"/>
      <c r="AC72" s="1891"/>
    </row>
    <row r="73" spans="1:29" s="1220" customFormat="1" ht="15.75" thickTop="1">
      <c r="A73" s="709"/>
      <c r="B73" s="673">
        <f>B24</f>
        <v>111</v>
      </c>
      <c r="C73" s="541"/>
      <c r="D73" s="541"/>
      <c r="E73" s="541"/>
      <c r="F73" s="541"/>
      <c r="G73" s="688"/>
      <c r="H73" s="688"/>
      <c r="I73" s="688"/>
      <c r="J73" s="688"/>
      <c r="K73" s="688"/>
      <c r="L73" s="688"/>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339" customFormat="1" ht="15.75" thickTop="1">
      <c r="A75" s="687"/>
      <c r="B75" s="673">
        <f>B25</f>
        <v>111</v>
      </c>
      <c r="C75" s="541"/>
      <c r="D75" s="541"/>
      <c r="E75" s="541"/>
      <c r="F75" s="541"/>
      <c r="G75" s="688"/>
      <c r="H75" s="689"/>
      <c r="I75" s="689"/>
      <c r="J75" s="689"/>
      <c r="K75" s="689"/>
      <c r="L75" s="690"/>
      <c r="M75" s="691"/>
      <c r="N75" s="2065"/>
      <c r="O75" s="2065"/>
      <c r="P75" s="2066"/>
      <c r="Q75" s="2067"/>
      <c r="R75" s="2068"/>
      <c r="S75" s="2068"/>
      <c r="T75" s="2068"/>
      <c r="U75" s="2068"/>
      <c r="V75" s="2068"/>
      <c r="W75" s="2068"/>
      <c r="X75" s="2068"/>
      <c r="Y75" s="2068"/>
      <c r="Z75" s="2068"/>
      <c r="AA75" s="2068"/>
      <c r="AB75" s="2068"/>
      <c r="AC75" s="2068"/>
    </row>
    <row r="76" spans="1:29" s="1339" customFormat="1" ht="15.75" thickBot="1">
      <c r="A76" s="687"/>
      <c r="B76" s="678"/>
      <c r="C76" s="692"/>
      <c r="D76" s="692"/>
      <c r="E76" s="692"/>
      <c r="F76" s="692"/>
      <c r="G76" s="671"/>
      <c r="H76" s="671"/>
      <c r="I76" s="671"/>
      <c r="J76" s="671"/>
      <c r="K76" s="671"/>
      <c r="L76" s="671"/>
      <c r="M76" s="672"/>
      <c r="N76" s="2065"/>
      <c r="O76" s="2065"/>
      <c r="P76" s="2066"/>
      <c r="Q76" s="2067"/>
      <c r="R76" s="2068"/>
      <c r="S76" s="2068"/>
      <c r="T76" s="2068"/>
      <c r="U76" s="2068"/>
      <c r="V76" s="2068"/>
      <c r="W76" s="2068"/>
      <c r="X76" s="2068"/>
      <c r="Y76" s="2068"/>
      <c r="Z76" s="2068"/>
      <c r="AA76" s="2068"/>
      <c r="AB76" s="2068"/>
      <c r="AC76" s="2068"/>
    </row>
    <row r="77" spans="1:29" ht="15" thickTop="1">
      <c r="A77" s="664" t="s">
        <v>549</v>
      </c>
      <c r="B77" s="665" t="s">
        <v>749</v>
      </c>
      <c r="C77" s="688"/>
      <c r="D77" s="68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060"/>
      <c r="O79" s="2060"/>
      <c r="P79" s="2063"/>
      <c r="Q79" s="2056"/>
      <c r="R79" s="2043"/>
      <c r="S79" s="2043"/>
      <c r="T79" s="2043"/>
      <c r="U79" s="2043"/>
      <c r="V79" s="2043"/>
      <c r="W79" s="2043"/>
      <c r="X79" s="2043"/>
      <c r="Y79" s="2043"/>
      <c r="Z79" s="2043"/>
      <c r="AA79" s="2043"/>
      <c r="AB79" s="2043"/>
      <c r="AC79" s="2043"/>
    </row>
    <row r="80" spans="1:29" ht="15">
      <c r="A80" s="669"/>
      <c r="B80" s="681"/>
      <c r="C80" s="894">
        <v>0.5</v>
      </c>
      <c r="D80" s="894">
        <v>0.6</v>
      </c>
      <c r="E80" s="894">
        <v>0.7</v>
      </c>
      <c r="F80" s="894">
        <v>0.8</v>
      </c>
      <c r="G80" s="894">
        <v>0.9</v>
      </c>
      <c r="H80" s="894">
        <v>1.0001</v>
      </c>
      <c r="I80" s="935"/>
      <c r="J80" s="935"/>
      <c r="K80" s="945"/>
      <c r="L80" s="946"/>
      <c r="M80" s="947"/>
      <c r="N80" s="2060"/>
      <c r="O80" s="2060"/>
      <c r="P80" s="2063"/>
      <c r="Q80" s="2056"/>
      <c r="R80" s="2043"/>
      <c r="S80" s="2043"/>
      <c r="T80" s="2043"/>
      <c r="U80" s="2043"/>
      <c r="V80" s="2043"/>
      <c r="W80" s="2043"/>
      <c r="X80" s="2043"/>
      <c r="Y80" s="2043"/>
      <c r="Z80" s="2043"/>
      <c r="AA80" s="2043"/>
      <c r="AB80" s="2043"/>
      <c r="AC80" s="204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064"/>
      <c r="O81" s="2064"/>
      <c r="P81" s="2066"/>
      <c r="Q81" s="2067"/>
      <c r="R81" s="2068"/>
      <c r="S81" s="2068"/>
      <c r="T81" s="2068"/>
      <c r="U81" s="2068"/>
      <c r="V81" s="2068"/>
      <c r="W81" s="2068"/>
      <c r="X81" s="2068"/>
      <c r="Y81" s="2068"/>
      <c r="Z81" s="2068"/>
      <c r="AA81" s="2068"/>
      <c r="AB81" s="2068"/>
      <c r="AC81" s="2068"/>
    </row>
    <row r="82" spans="1:29" ht="15" thickTop="1">
      <c r="A82" s="735"/>
      <c r="B82" s="681" t="s">
        <v>815</v>
      </c>
      <c r="C82" s="688"/>
      <c r="D82" s="688"/>
      <c r="E82" s="718"/>
      <c r="F82" s="718"/>
      <c r="G82" s="718"/>
      <c r="H82" s="718"/>
      <c r="I82" s="718"/>
      <c r="J82" s="718"/>
      <c r="K82" s="719"/>
      <c r="L82" s="720"/>
      <c r="M82" s="721"/>
      <c r="N82" s="2062"/>
      <c r="O82" s="2062"/>
      <c r="P82" s="2063"/>
      <c r="Q82" s="2056"/>
      <c r="R82" s="2043"/>
      <c r="S82" s="2043"/>
      <c r="T82" s="2043"/>
      <c r="U82" s="2043"/>
      <c r="V82" s="2043"/>
      <c r="W82" s="2043"/>
      <c r="X82" s="2043"/>
      <c r="Y82" s="2043"/>
      <c r="Z82" s="2043"/>
      <c r="AA82" s="2043"/>
      <c r="AB82" s="2043"/>
      <c r="AC82" s="20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064"/>
      <c r="O83" s="2064"/>
      <c r="P83" s="2063"/>
      <c r="Q83" s="2056"/>
      <c r="R83" s="2043"/>
      <c r="S83" s="2043"/>
      <c r="T83" s="2043"/>
      <c r="U83" s="2043"/>
      <c r="V83" s="2043"/>
      <c r="W83" s="2043"/>
      <c r="X83" s="2043"/>
      <c r="Y83" s="2043"/>
      <c r="Z83" s="2043"/>
      <c r="AA83" s="2043"/>
      <c r="AB83" s="2043"/>
      <c r="AC83" s="2043"/>
    </row>
    <row r="84" spans="1:29" ht="15" thickTop="1">
      <c r="A84" s="735"/>
      <c r="B84" s="673" t="s">
        <v>823</v>
      </c>
      <c r="C84" s="688"/>
      <c r="D84" s="688"/>
      <c r="E84" s="688"/>
      <c r="F84" s="688"/>
      <c r="G84" s="688"/>
      <c r="H84" s="688"/>
      <c r="I84" s="718"/>
      <c r="J84" s="718"/>
      <c r="K84" s="719"/>
      <c r="L84" s="720"/>
      <c r="M84" s="721"/>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064"/>
      <c r="O85" s="2064"/>
      <c r="P85" s="2063"/>
      <c r="Q85" s="2056"/>
      <c r="R85" s="2043"/>
      <c r="S85" s="2043"/>
      <c r="T85" s="2043"/>
      <c r="U85" s="2043"/>
      <c r="V85" s="2043"/>
      <c r="W85" s="2043"/>
      <c r="X85" s="2043"/>
      <c r="Y85" s="2043"/>
      <c r="Z85" s="2043"/>
      <c r="AA85" s="2043"/>
      <c r="AB85" s="2043"/>
      <c r="AC85" s="2043"/>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062"/>
      <c r="O86" s="2062"/>
      <c r="P86" s="2063"/>
      <c r="Q86" s="2056"/>
      <c r="R86" s="2043"/>
      <c r="S86" s="2043"/>
      <c r="T86" s="2043"/>
      <c r="U86" s="2043"/>
      <c r="V86" s="2043"/>
      <c r="W86" s="2043"/>
      <c r="X86" s="2043"/>
      <c r="Y86" s="2043"/>
      <c r="Z86" s="2043"/>
      <c r="AA86" s="2043"/>
      <c r="AB86" s="2043"/>
      <c r="AC86" s="2043"/>
    </row>
    <row r="87" spans="1:29">
      <c r="A87" s="735"/>
      <c r="B87" s="681"/>
      <c r="C87" s="730"/>
      <c r="D87" s="730"/>
      <c r="E87" s="730"/>
      <c r="F87" s="730"/>
      <c r="G87" s="730"/>
      <c r="H87" s="730"/>
      <c r="I87" s="730"/>
      <c r="J87" s="731"/>
      <c r="K87" s="731"/>
      <c r="L87" s="732"/>
      <c r="M87" s="733"/>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92"/>
      <c r="D88" s="671"/>
      <c r="E88" s="671"/>
      <c r="F88" s="671"/>
      <c r="G88" s="671"/>
      <c r="H88" s="671"/>
      <c r="I88" s="671"/>
      <c r="J88" s="671"/>
      <c r="K88" s="671"/>
      <c r="L88" s="671"/>
      <c r="M88" s="671"/>
      <c r="N88" s="2064"/>
      <c r="O88" s="2064"/>
      <c r="P88" s="2063"/>
      <c r="Q88" s="2056"/>
      <c r="R88" s="2043"/>
      <c r="S88" s="2043"/>
      <c r="T88" s="2043"/>
      <c r="U88" s="2043"/>
      <c r="V88" s="2043"/>
      <c r="W88" s="2043"/>
      <c r="X88" s="2043"/>
      <c r="Y88" s="2043"/>
      <c r="Z88" s="2043"/>
      <c r="AA88" s="2043"/>
      <c r="AB88" s="2043"/>
      <c r="AC88" s="2043"/>
    </row>
    <row r="89" spans="1:29" s="1339" customFormat="1" ht="15" thickTop="1">
      <c r="A89" s="728"/>
      <c r="B89" s="673" t="s">
        <v>825</v>
      </c>
      <c r="C89" s="688"/>
      <c r="D89" s="688"/>
      <c r="E89" s="688"/>
      <c r="F89" s="688"/>
      <c r="G89" s="688"/>
      <c r="H89" s="688"/>
      <c r="I89" s="688"/>
      <c r="J89" s="688"/>
      <c r="K89" s="688"/>
      <c r="L89" s="688"/>
      <c r="M89" s="891"/>
      <c r="N89" s="2065"/>
      <c r="O89" s="2065"/>
      <c r="P89" s="2066"/>
      <c r="Q89" s="2067"/>
      <c r="R89" s="2068"/>
      <c r="S89" s="2068"/>
      <c r="T89" s="2068"/>
      <c r="U89" s="2068"/>
      <c r="V89" s="2068"/>
      <c r="W89" s="2068"/>
      <c r="X89" s="2068"/>
      <c r="Y89" s="2068"/>
      <c r="Z89" s="2068"/>
      <c r="AA89" s="2068"/>
      <c r="AB89" s="2068"/>
      <c r="AC89" s="2068"/>
    </row>
    <row r="90" spans="1:29" s="1339" customFormat="1" ht="15.75" thickBot="1">
      <c r="A90" s="687"/>
      <c r="B90" s="678"/>
      <c r="C90" s="692"/>
      <c r="D90" s="671"/>
      <c r="E90" s="671"/>
      <c r="F90" s="671"/>
      <c r="G90" s="671"/>
      <c r="H90" s="671"/>
      <c r="I90" s="671"/>
      <c r="J90" s="671"/>
      <c r="K90" s="671"/>
      <c r="L90" s="671"/>
      <c r="M90" s="672"/>
      <c r="N90" s="2065"/>
      <c r="O90" s="2065"/>
      <c r="P90" s="2066"/>
      <c r="Q90" s="2067"/>
      <c r="R90" s="2068"/>
      <c r="S90" s="2068"/>
      <c r="T90" s="2068"/>
      <c r="U90" s="2068"/>
      <c r="V90" s="2068"/>
      <c r="W90" s="2068"/>
      <c r="X90" s="2068"/>
      <c r="Y90" s="2068"/>
      <c r="Z90" s="2068"/>
      <c r="AA90" s="2068"/>
      <c r="AB90" s="2068"/>
      <c r="AC90" s="2068"/>
    </row>
    <row r="91" spans="1:29" ht="15" thickTop="1">
      <c r="A91" s="735"/>
      <c r="B91" s="673">
        <f>B32</f>
        <v>111</v>
      </c>
      <c r="C91" s="541"/>
      <c r="D91" s="541"/>
      <c r="E91" s="541"/>
      <c r="F91" s="541"/>
      <c r="G91" s="688"/>
      <c r="H91" s="689"/>
      <c r="I91" s="689"/>
      <c r="J91" s="689"/>
      <c r="K91" s="689"/>
      <c r="L91" s="690"/>
      <c r="M91" s="691"/>
      <c r="N91" s="2062"/>
      <c r="O91" s="2062"/>
      <c r="P91" s="2063"/>
      <c r="Q91" s="2056"/>
      <c r="R91" s="2043"/>
      <c r="S91" s="2043"/>
      <c r="T91" s="2043"/>
      <c r="U91" s="2043"/>
      <c r="V91" s="2043"/>
      <c r="W91" s="2043"/>
      <c r="X91" s="2043"/>
      <c r="Y91" s="2043"/>
      <c r="Z91" s="2043"/>
      <c r="AA91" s="2043"/>
      <c r="AB91" s="2043"/>
      <c r="AC91" s="2043"/>
    </row>
    <row r="92" spans="1:29" ht="15.75" thickBot="1">
      <c r="A92" s="669"/>
      <c r="B92" s="678"/>
      <c r="C92" s="692"/>
      <c r="D92" s="671"/>
      <c r="E92" s="671"/>
      <c r="F92" s="671"/>
      <c r="G92" s="692"/>
      <c r="H92" s="693"/>
      <c r="I92" s="693"/>
      <c r="J92" s="693"/>
      <c r="K92" s="693"/>
      <c r="L92" s="693"/>
      <c r="M92" s="694"/>
      <c r="N92" s="2064"/>
      <c r="O92" s="2064"/>
      <c r="P92" s="2063"/>
      <c r="Q92" s="2056"/>
      <c r="R92" s="2043"/>
      <c r="S92" s="2043"/>
      <c r="T92" s="2043"/>
      <c r="U92" s="2043"/>
      <c r="V92" s="2043"/>
      <c r="W92" s="2043"/>
      <c r="X92" s="2043"/>
      <c r="Y92" s="2043"/>
      <c r="Z92" s="2043"/>
      <c r="AA92" s="2043"/>
      <c r="AB92" s="2043"/>
      <c r="AC92" s="2043"/>
    </row>
    <row r="93" spans="1:29" ht="15" thickTop="1">
      <c r="A93" s="735"/>
      <c r="B93" s="673">
        <f>B33</f>
        <v>111</v>
      </c>
      <c r="C93" s="541"/>
      <c r="D93" s="541"/>
      <c r="E93" s="541"/>
      <c r="F93" s="541"/>
      <c r="G93" s="688"/>
      <c r="H93" s="689"/>
      <c r="I93" s="689"/>
      <c r="J93" s="689"/>
      <c r="K93" s="689"/>
      <c r="L93" s="690"/>
      <c r="M93" s="69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92"/>
      <c r="H94" s="693"/>
      <c r="I94" s="693"/>
      <c r="J94" s="693"/>
      <c r="K94" s="693"/>
      <c r="L94" s="693"/>
      <c r="M94" s="694"/>
      <c r="N94" s="2064"/>
      <c r="O94" s="2064"/>
      <c r="P94" s="2063"/>
      <c r="Q94" s="2056"/>
      <c r="R94" s="2043"/>
      <c r="S94" s="2043"/>
      <c r="T94" s="2043"/>
      <c r="U94" s="2043"/>
      <c r="V94" s="2043"/>
      <c r="W94" s="2043"/>
      <c r="X94" s="2043"/>
      <c r="Y94" s="2043"/>
      <c r="Z94" s="2043"/>
      <c r="AA94" s="2043"/>
      <c r="AB94" s="2043"/>
      <c r="AC94" s="2043"/>
    </row>
    <row r="95" spans="1:29" ht="15" thickTop="1">
      <c r="A95" s="735"/>
      <c r="B95" s="917">
        <f>B34</f>
        <v>111</v>
      </c>
      <c r="C95" s="541"/>
      <c r="D95" s="541"/>
      <c r="E95" s="541"/>
      <c r="F95" s="541"/>
      <c r="G95" s="688"/>
      <c r="H95" s="689"/>
      <c r="I95" s="689"/>
      <c r="J95" s="689"/>
      <c r="K95" s="689"/>
      <c r="L95" s="690"/>
      <c r="M95" s="691"/>
      <c r="N95" s="2064"/>
      <c r="O95" s="2064"/>
      <c r="P95" s="2103"/>
      <c r="Q95" s="2104"/>
      <c r="R95" s="2043"/>
      <c r="S95" s="2043"/>
      <c r="T95" s="2043"/>
      <c r="U95" s="2043"/>
      <c r="V95" s="2043"/>
      <c r="W95" s="2043"/>
      <c r="X95" s="2043"/>
      <c r="Y95" s="2043"/>
      <c r="Z95" s="2043"/>
      <c r="AA95" s="2043"/>
      <c r="AB95" s="2043"/>
      <c r="AC95" s="2043"/>
    </row>
    <row r="96" spans="1:29" ht="15.75" thickBot="1">
      <c r="A96" s="669"/>
      <c r="B96" s="678"/>
      <c r="C96" s="692"/>
      <c r="D96" s="692"/>
      <c r="E96" s="692"/>
      <c r="F96" s="692"/>
      <c r="G96" s="692"/>
      <c r="H96" s="693"/>
      <c r="I96" s="693"/>
      <c r="J96" s="693"/>
      <c r="K96" s="693"/>
      <c r="L96" s="693"/>
      <c r="M96" s="694"/>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93.75">
      <c r="A7" s="2788" t="s">
        <v>2747</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2069</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93.75">
      <c r="A21" s="27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6" t="s">
        <v>2072</v>
      </c>
    </row>
    <row r="23" spans="1:1" ht="18.75">
      <c r="A23" s="2790" t="s">
        <v>2748</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132" t="s">
        <v>2301</v>
      </c>
      <c r="C1" s="3666" t="s">
        <v>2302</v>
      </c>
      <c r="D1" s="3667"/>
      <c r="E1" s="3667"/>
      <c r="F1" s="3667"/>
      <c r="G1" s="3667"/>
      <c r="H1" s="3667"/>
      <c r="I1" s="3667"/>
      <c r="J1" s="3667"/>
      <c r="K1" s="3667"/>
      <c r="L1" s="3667"/>
      <c r="M1" s="3667"/>
      <c r="N1" s="3667"/>
      <c r="O1" s="3667"/>
      <c r="P1" s="3667"/>
      <c r="Q1" s="3667"/>
      <c r="R1" s="3667"/>
      <c r="S1" s="3668"/>
      <c r="T1" s="2132" t="s">
        <v>2303</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8" customFormat="1">
      <c r="A2" s="2133"/>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134" t="str">
        <f>S3&amp;"(含)"&amp;"-"</f>
        <v>(含)-</v>
      </c>
      <c r="T2" s="952"/>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69" customFormat="1">
      <c r="A3" s="2136"/>
      <c r="B3" s="953"/>
      <c r="C3" s="954"/>
      <c r="D3" s="955"/>
      <c r="E3" s="955"/>
      <c r="F3" s="955"/>
      <c r="G3" s="955"/>
      <c r="H3" s="955"/>
      <c r="I3" s="955"/>
      <c r="J3" s="956"/>
      <c r="K3" s="956"/>
      <c r="L3" s="957"/>
      <c r="M3" s="2137"/>
      <c r="N3" s="2138"/>
      <c r="O3" s="955"/>
      <c r="P3" s="955"/>
      <c r="Q3" s="955"/>
      <c r="R3" s="955"/>
      <c r="S3" s="2139"/>
      <c r="T3" s="958"/>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69"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0" customFormat="1">
      <c r="A5" s="2149"/>
      <c r="B5" s="2999" t="s">
        <v>2915</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0" customFormat="1" ht="13.5" thickBot="1">
      <c r="A6" s="2149"/>
      <c r="B6" s="1862"/>
      <c r="C6" s="1866">
        <v>100</v>
      </c>
      <c r="D6" s="1867">
        <f>C6-$T5</f>
        <v>100</v>
      </c>
      <c r="E6" s="1867">
        <f t="shared" ref="E6:S6" si="7">D6-$T5</f>
        <v>100</v>
      </c>
      <c r="F6" s="1867">
        <f t="shared" si="7"/>
        <v>100</v>
      </c>
      <c r="G6" s="1867">
        <f t="shared" si="7"/>
        <v>100</v>
      </c>
      <c r="H6" s="1867">
        <f t="shared" si="7"/>
        <v>100</v>
      </c>
      <c r="I6" s="1867">
        <f t="shared" si="7"/>
        <v>100</v>
      </c>
      <c r="J6" s="1867">
        <f t="shared" si="7"/>
        <v>100</v>
      </c>
      <c r="K6" s="1867">
        <f t="shared" si="7"/>
        <v>100</v>
      </c>
      <c r="L6" s="1867">
        <f t="shared" si="7"/>
        <v>100</v>
      </c>
      <c r="M6" s="1867">
        <f t="shared" si="7"/>
        <v>100</v>
      </c>
      <c r="N6" s="1867">
        <f t="shared" si="7"/>
        <v>100</v>
      </c>
      <c r="O6" s="1867">
        <f t="shared" si="7"/>
        <v>100</v>
      </c>
      <c r="P6" s="1867">
        <f t="shared" si="7"/>
        <v>100</v>
      </c>
      <c r="Q6" s="1867">
        <f t="shared" si="7"/>
        <v>100</v>
      </c>
      <c r="R6" s="1867">
        <f t="shared" si="7"/>
        <v>100</v>
      </c>
      <c r="S6" s="1867">
        <f t="shared" si="7"/>
        <v>100</v>
      </c>
      <c r="T6" s="1865"/>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0" customFormat="1">
      <c r="A7" s="2149"/>
      <c r="B7" s="3001" t="s">
        <v>2914</v>
      </c>
      <c r="C7" s="1859"/>
      <c r="D7" s="1860"/>
      <c r="E7" s="1860"/>
      <c r="F7" s="1860"/>
      <c r="G7" s="1860"/>
      <c r="H7" s="1860"/>
      <c r="I7" s="1860"/>
      <c r="J7" s="1860"/>
      <c r="K7" s="1860"/>
      <c r="L7" s="1860"/>
      <c r="M7" s="2157"/>
      <c r="N7" s="2158"/>
      <c r="O7" s="2159"/>
      <c r="P7" s="2160"/>
      <c r="Q7" s="2161"/>
      <c r="R7" s="2162"/>
      <c r="S7" s="2163"/>
      <c r="T7" s="959"/>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0" customFormat="1" ht="13.5" thickBot="1">
      <c r="A8" s="2149"/>
      <c r="B8" s="1862"/>
      <c r="C8" s="1866">
        <v>100</v>
      </c>
      <c r="D8" s="1867">
        <f>C8-$T7</f>
        <v>100</v>
      </c>
      <c r="E8" s="1867">
        <f t="shared" ref="E8:S8" si="8">D8-$T7</f>
        <v>100</v>
      </c>
      <c r="F8" s="1867">
        <f t="shared" si="8"/>
        <v>100</v>
      </c>
      <c r="G8" s="1867">
        <f t="shared" si="8"/>
        <v>100</v>
      </c>
      <c r="H8" s="1867">
        <f t="shared" si="8"/>
        <v>100</v>
      </c>
      <c r="I8" s="1867">
        <f t="shared" si="8"/>
        <v>100</v>
      </c>
      <c r="J8" s="1867">
        <f t="shared" si="8"/>
        <v>100</v>
      </c>
      <c r="K8" s="1867">
        <f t="shared" si="8"/>
        <v>100</v>
      </c>
      <c r="L8" s="1867">
        <f t="shared" si="8"/>
        <v>100</v>
      </c>
      <c r="M8" s="1867">
        <f t="shared" si="8"/>
        <v>100</v>
      </c>
      <c r="N8" s="1867">
        <f t="shared" si="8"/>
        <v>100</v>
      </c>
      <c r="O8" s="1867">
        <f t="shared" si="8"/>
        <v>100</v>
      </c>
      <c r="P8" s="1867">
        <f t="shared" si="8"/>
        <v>100</v>
      </c>
      <c r="Q8" s="1867">
        <f t="shared" si="8"/>
        <v>100</v>
      </c>
      <c r="R8" s="1867">
        <f t="shared" si="8"/>
        <v>100</v>
      </c>
      <c r="S8" s="1867">
        <f t="shared" si="8"/>
        <v>100</v>
      </c>
      <c r="T8" s="1865"/>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0" customFormat="1">
      <c r="A9" s="2149"/>
      <c r="B9" s="3001" t="s">
        <v>2913</v>
      </c>
      <c r="C9" s="1859"/>
      <c r="D9" s="1860"/>
      <c r="E9" s="1860"/>
      <c r="F9" s="1860"/>
      <c r="G9" s="1860"/>
      <c r="H9" s="1860"/>
      <c r="I9" s="1860"/>
      <c r="J9" s="1860"/>
      <c r="K9" s="1860"/>
      <c r="L9" s="1861"/>
      <c r="M9" s="2157"/>
      <c r="N9" s="2158"/>
      <c r="O9" s="2159"/>
      <c r="P9" s="2160"/>
      <c r="Q9" s="2161"/>
      <c r="R9" s="2162"/>
      <c r="S9" s="2163"/>
      <c r="T9" s="959"/>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0" customFormat="1" ht="13.5" thickBot="1">
      <c r="A10" s="2149"/>
      <c r="B10" s="3000"/>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0" customFormat="1">
      <c r="A11" s="2149"/>
      <c r="B11" s="2999" t="s">
        <v>2928</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0" customFormat="1" ht="13.5" thickBot="1">
      <c r="A12" s="2149"/>
      <c r="B12" s="1862"/>
      <c r="C12" s="1866">
        <v>100</v>
      </c>
      <c r="D12" s="1867">
        <f>C12-$T11</f>
        <v>100</v>
      </c>
      <c r="E12" s="1867">
        <f t="shared" ref="E12:S12" si="10">D12-$T11</f>
        <v>100</v>
      </c>
      <c r="F12" s="1867">
        <f t="shared" si="10"/>
        <v>100</v>
      </c>
      <c r="G12" s="1867">
        <f t="shared" si="10"/>
        <v>100</v>
      </c>
      <c r="H12" s="1867">
        <f t="shared" si="10"/>
        <v>100</v>
      </c>
      <c r="I12" s="1867">
        <f t="shared" si="10"/>
        <v>100</v>
      </c>
      <c r="J12" s="1867">
        <f t="shared" si="10"/>
        <v>100</v>
      </c>
      <c r="K12" s="1867">
        <f t="shared" si="10"/>
        <v>100</v>
      </c>
      <c r="L12" s="1867">
        <f t="shared" si="10"/>
        <v>100</v>
      </c>
      <c r="M12" s="1867">
        <f t="shared" si="10"/>
        <v>100</v>
      </c>
      <c r="N12" s="1867">
        <f t="shared" si="10"/>
        <v>100</v>
      </c>
      <c r="O12" s="1867">
        <f t="shared" si="10"/>
        <v>100</v>
      </c>
      <c r="P12" s="1867">
        <f t="shared" si="10"/>
        <v>100</v>
      </c>
      <c r="Q12" s="1867">
        <f t="shared" si="10"/>
        <v>100</v>
      </c>
      <c r="R12" s="1867">
        <f t="shared" si="10"/>
        <v>100</v>
      </c>
      <c r="S12" s="1867">
        <f t="shared" si="10"/>
        <v>100</v>
      </c>
      <c r="T12" s="1865"/>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0" customFormat="1">
      <c r="A13" s="2149"/>
      <c r="B13" s="2999" t="s">
        <v>2912</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0" customFormat="1" ht="13.5" thickBot="1">
      <c r="A14" s="2149"/>
      <c r="B14" s="1862"/>
      <c r="C14" s="1863"/>
      <c r="D14" s="1864"/>
      <c r="E14" s="1864"/>
      <c r="F14" s="1864"/>
      <c r="G14" s="1864"/>
      <c r="H14" s="1864"/>
      <c r="I14" s="1864"/>
      <c r="J14" s="1864"/>
      <c r="K14" s="1864"/>
      <c r="L14" s="1864"/>
      <c r="M14" s="2173"/>
      <c r="N14" s="2173"/>
      <c r="O14" s="1864"/>
      <c r="P14" s="1864"/>
      <c r="Q14" s="1864"/>
      <c r="R14" s="1864"/>
      <c r="S14" s="2174"/>
      <c r="T14" s="1865"/>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0" customFormat="1">
      <c r="A15" s="2149"/>
      <c r="B15" s="2999" t="s">
        <v>2911</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0"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8" customFormat="1">
      <c r="A17" s="2175" t="s">
        <v>2305</v>
      </c>
      <c r="B17" s="2176" t="s">
        <v>2306</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8"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311"/>
      <c r="B19" s="948"/>
      <c r="C19" s="1888"/>
      <c r="D19" s="1888"/>
      <c r="E19" s="1888"/>
      <c r="F19" s="1888"/>
      <c r="G19" s="1888"/>
      <c r="H19" s="1888"/>
      <c r="I19" s="1888"/>
      <c r="J19" s="1888"/>
      <c r="K19" s="1888"/>
      <c r="L19" s="1888"/>
      <c r="M19" s="1888"/>
      <c r="N19" s="1888"/>
      <c r="O19" s="1888"/>
      <c r="P19" s="1888"/>
      <c r="Q19" s="1888"/>
      <c r="R19" s="2123"/>
      <c r="S19" s="1926"/>
    </row>
    <row r="20" spans="1:45" ht="15.75">
      <c r="A20" s="960" t="s">
        <v>826</v>
      </c>
      <c r="B20" s="775">
        <f>S22</f>
        <v>0</v>
      </c>
      <c r="C20" s="1888"/>
      <c r="D20" s="1888"/>
      <c r="E20" s="1888"/>
      <c r="F20" s="1888"/>
      <c r="G20" s="1888"/>
      <c r="H20" s="1888"/>
      <c r="I20" s="1888"/>
      <c r="J20" s="1888"/>
      <c r="K20" s="1888"/>
      <c r="L20" s="1888"/>
      <c r="M20" s="1888"/>
      <c r="N20" s="1888"/>
      <c r="O20" s="1888"/>
      <c r="P20" s="1888"/>
      <c r="Q20" s="1888"/>
      <c r="R20" s="2123"/>
      <c r="S20" s="1926"/>
    </row>
    <row r="21" spans="1:45" ht="15.75">
      <c r="A21" s="960" t="s">
        <v>827</v>
      </c>
      <c r="B21" s="775" t="e">
        <f>R22</f>
        <v>#DIV/0!</v>
      </c>
      <c r="C21" s="1888"/>
      <c r="D21" s="1888"/>
      <c r="E21" s="1888"/>
      <c r="F21" s="1888"/>
      <c r="G21" s="1888"/>
      <c r="H21" s="1888"/>
      <c r="I21" s="1888"/>
      <c r="J21" s="1888"/>
      <c r="K21" s="1888"/>
      <c r="L21" s="1888"/>
      <c r="M21" s="1888"/>
      <c r="N21" s="1888"/>
      <c r="O21" s="1888"/>
      <c r="P21" s="1888"/>
      <c r="Q21" s="1888"/>
      <c r="R21" s="2123"/>
      <c r="S21" s="1926"/>
    </row>
    <row r="22" spans="1:45">
      <c r="A22" s="799" t="s">
        <v>828</v>
      </c>
      <c r="B22" s="53">
        <f>SUM(B24:B10000)</f>
        <v>0</v>
      </c>
      <c r="C22" s="3663" t="s">
        <v>20</v>
      </c>
      <c r="D22" s="3664"/>
      <c r="E22" s="3664"/>
      <c r="F22" s="3664"/>
      <c r="G22" s="3664"/>
      <c r="H22" s="3664"/>
      <c r="I22" s="3664"/>
      <c r="J22" s="3664"/>
      <c r="K22" s="3664"/>
      <c r="L22" s="3664"/>
      <c r="M22" s="3664"/>
      <c r="N22" s="3664"/>
      <c r="O22" s="3664"/>
      <c r="P22" s="3664"/>
      <c r="Q22" s="3665"/>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871"/>
      <c r="U24" s="1871"/>
      <c r="V24" s="1871"/>
      <c r="W24" s="1871"/>
      <c r="X24" s="1871"/>
      <c r="Y24" s="1871"/>
      <c r="Z24" s="1871"/>
      <c r="AA24" s="1871"/>
      <c r="AB24" s="1871"/>
      <c r="AC24" s="1871"/>
      <c r="AD24" s="1871"/>
      <c r="AE24" s="1871"/>
      <c r="AF24" s="1871"/>
      <c r="AG24" s="1871"/>
      <c r="AH24" s="1871"/>
      <c r="AI24" s="1871"/>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24"/>
      <c r="S525" s="257"/>
    </row>
    <row r="526" spans="1:19">
      <c r="A526" s="257"/>
      <c r="B526" s="57"/>
      <c r="C526" s="57"/>
      <c r="D526" s="57"/>
      <c r="E526" s="57"/>
      <c r="F526" s="57"/>
      <c r="G526" s="57"/>
      <c r="H526" s="57"/>
      <c r="I526" s="57"/>
      <c r="J526" s="57"/>
      <c r="K526" s="57"/>
      <c r="L526" s="57"/>
      <c r="M526" s="57"/>
      <c r="N526" s="57"/>
      <c r="O526" s="57"/>
      <c r="P526" s="57"/>
      <c r="Q526" s="57"/>
      <c r="R526" s="2124"/>
      <c r="S526" s="257"/>
    </row>
    <row r="527" spans="1:19">
      <c r="A527" s="257"/>
      <c r="B527" s="57"/>
      <c r="C527" s="57"/>
      <c r="D527" s="57"/>
      <c r="E527" s="57"/>
      <c r="F527" s="57"/>
      <c r="G527" s="57"/>
      <c r="H527" s="57"/>
      <c r="I527" s="57"/>
      <c r="J527" s="57"/>
      <c r="K527" s="57"/>
      <c r="L527" s="57"/>
      <c r="M527" s="57"/>
      <c r="N527" s="57"/>
      <c r="O527" s="57"/>
      <c r="P527" s="57"/>
      <c r="Q527" s="57"/>
      <c r="R527" s="2124"/>
      <c r="S527" s="257"/>
    </row>
    <row r="528" spans="1:19">
      <c r="A528" s="257"/>
      <c r="B528" s="57"/>
      <c r="C528" s="57"/>
      <c r="D528" s="57"/>
      <c r="E528" s="57"/>
      <c r="F528" s="57"/>
      <c r="G528" s="57"/>
      <c r="H528" s="57"/>
      <c r="I528" s="57"/>
      <c r="J528" s="57"/>
      <c r="K528" s="57"/>
      <c r="L528" s="57"/>
      <c r="M528" s="57"/>
      <c r="N528" s="57"/>
      <c r="O528" s="57"/>
      <c r="P528" s="57"/>
      <c r="Q528" s="57"/>
      <c r="R528" s="2124"/>
      <c r="S528" s="257"/>
    </row>
    <row r="529" spans="1:19">
      <c r="A529" s="257"/>
      <c r="B529" s="57"/>
      <c r="C529" s="57"/>
      <c r="D529" s="57"/>
      <c r="E529" s="57"/>
      <c r="F529" s="57"/>
      <c r="G529" s="57"/>
      <c r="H529" s="57"/>
      <c r="I529" s="57"/>
      <c r="J529" s="57"/>
      <c r="K529" s="57"/>
      <c r="L529" s="57"/>
      <c r="M529" s="57"/>
      <c r="N529" s="57"/>
      <c r="O529" s="57"/>
      <c r="P529" s="57"/>
      <c r="Q529" s="57"/>
      <c r="R529" s="2124"/>
      <c r="S529" s="257"/>
    </row>
    <row r="530" spans="1:19">
      <c r="A530" s="257"/>
      <c r="B530" s="57"/>
      <c r="C530" s="57"/>
      <c r="D530" s="57"/>
      <c r="E530" s="57"/>
      <c r="F530" s="57"/>
      <c r="G530" s="57"/>
      <c r="H530" s="57"/>
      <c r="I530" s="57"/>
      <c r="J530" s="57"/>
      <c r="K530" s="57"/>
      <c r="L530" s="57"/>
      <c r="M530" s="57"/>
      <c r="N530" s="57"/>
      <c r="O530" s="57"/>
      <c r="P530" s="57"/>
      <c r="Q530" s="57"/>
      <c r="R530" s="2124"/>
      <c r="S530" s="257"/>
    </row>
    <row r="531" spans="1:19">
      <c r="A531" s="257"/>
      <c r="B531" s="57"/>
      <c r="C531" s="57"/>
      <c r="D531" s="57"/>
      <c r="E531" s="57"/>
      <c r="F531" s="57"/>
      <c r="G531" s="57"/>
      <c r="H531" s="57"/>
      <c r="I531" s="57"/>
      <c r="J531" s="57"/>
      <c r="K531" s="57"/>
      <c r="L531" s="57"/>
      <c r="M531" s="57"/>
      <c r="N531" s="57"/>
      <c r="O531" s="57"/>
      <c r="P531" s="57"/>
      <c r="Q531" s="57"/>
      <c r="R531" s="2124"/>
      <c r="S531" s="257"/>
    </row>
    <row r="532" spans="1:19">
      <c r="A532" s="257"/>
      <c r="B532" s="57"/>
      <c r="C532" s="57"/>
      <c r="D532" s="57"/>
      <c r="E532" s="57"/>
      <c r="F532" s="57"/>
      <c r="G532" s="57"/>
      <c r="H532" s="57"/>
      <c r="I532" s="57"/>
      <c r="J532" s="57"/>
      <c r="K532" s="57"/>
      <c r="L532" s="57"/>
      <c r="M532" s="57"/>
      <c r="N532" s="57"/>
      <c r="O532" s="57"/>
      <c r="P532" s="57"/>
      <c r="Q532" s="57"/>
      <c r="R532" s="2124"/>
      <c r="S532" s="257"/>
    </row>
    <row r="533" spans="1:19">
      <c r="A533" s="257"/>
      <c r="B533" s="57"/>
      <c r="C533" s="57"/>
      <c r="D533" s="57"/>
      <c r="E533" s="57"/>
      <c r="F533" s="57"/>
      <c r="G533" s="57"/>
      <c r="H533" s="57"/>
      <c r="I533" s="57"/>
      <c r="J533" s="57"/>
      <c r="K533" s="57"/>
      <c r="L533" s="57"/>
      <c r="M533" s="57"/>
      <c r="N533" s="57"/>
      <c r="O533" s="57"/>
      <c r="P533" s="57"/>
      <c r="Q533" s="57"/>
      <c r="R533" s="2124"/>
      <c r="S533" s="257"/>
    </row>
    <row r="534" spans="1:19">
      <c r="A534" s="257"/>
      <c r="B534" s="57"/>
      <c r="C534" s="57"/>
      <c r="D534" s="57"/>
      <c r="E534" s="57"/>
      <c r="F534" s="57"/>
      <c r="G534" s="57"/>
      <c r="H534" s="57"/>
      <c r="I534" s="57"/>
      <c r="J534" s="57"/>
      <c r="K534" s="57"/>
      <c r="L534" s="57"/>
      <c r="M534" s="57"/>
      <c r="N534" s="57"/>
      <c r="O534" s="57"/>
      <c r="P534" s="57"/>
      <c r="Q534" s="57"/>
      <c r="R534" s="2124"/>
      <c r="S534" s="257"/>
    </row>
    <row r="535" spans="1:19">
      <c r="A535" s="257"/>
      <c r="B535" s="57"/>
      <c r="C535" s="57"/>
      <c r="D535" s="57"/>
      <c r="E535" s="57"/>
      <c r="F535" s="57"/>
      <c r="G535" s="57"/>
      <c r="H535" s="57"/>
      <c r="I535" s="57"/>
      <c r="J535" s="57"/>
      <c r="K535" s="57"/>
      <c r="L535" s="57"/>
      <c r="M535" s="57"/>
      <c r="N535" s="57"/>
      <c r="O535" s="57"/>
      <c r="P535" s="57"/>
      <c r="Q535" s="57"/>
      <c r="R535" s="2124"/>
      <c r="S535" s="257"/>
    </row>
    <row r="536" spans="1:19">
      <c r="A536" s="257"/>
      <c r="B536" s="57"/>
      <c r="C536" s="57"/>
      <c r="D536" s="57"/>
      <c r="E536" s="57"/>
      <c r="F536" s="57"/>
      <c r="G536" s="57"/>
      <c r="H536" s="57"/>
      <c r="I536" s="57"/>
      <c r="J536" s="57"/>
      <c r="K536" s="57"/>
      <c r="L536" s="57"/>
      <c r="M536" s="57"/>
      <c r="N536" s="57"/>
      <c r="O536" s="57"/>
      <c r="P536" s="57"/>
      <c r="Q536" s="57"/>
      <c r="R536" s="2124"/>
      <c r="S536" s="257"/>
    </row>
    <row r="537" spans="1:19">
      <c r="A537" s="257"/>
      <c r="B537" s="57"/>
      <c r="C537" s="57"/>
      <c r="D537" s="57"/>
      <c r="E537" s="57"/>
      <c r="F537" s="57"/>
      <c r="G537" s="57"/>
      <c r="H537" s="57"/>
      <c r="I537" s="57"/>
      <c r="J537" s="57"/>
      <c r="K537" s="57"/>
      <c r="L537" s="57"/>
      <c r="M537" s="57"/>
      <c r="N537" s="57"/>
      <c r="O537" s="57"/>
      <c r="P537" s="57"/>
      <c r="Q537" s="57"/>
      <c r="R537" s="2124"/>
      <c r="S537" s="257"/>
    </row>
    <row r="538" spans="1:19">
      <c r="A538" s="257"/>
      <c r="B538" s="57"/>
      <c r="C538" s="57"/>
      <c r="D538" s="57"/>
      <c r="E538" s="57"/>
      <c r="F538" s="57"/>
      <c r="G538" s="57"/>
      <c r="H538" s="57"/>
      <c r="I538" s="57"/>
      <c r="J538" s="57"/>
      <c r="K538" s="57"/>
      <c r="L538" s="57"/>
      <c r="M538" s="57"/>
      <c r="N538" s="57"/>
      <c r="O538" s="57"/>
      <c r="P538" s="57"/>
      <c r="Q538" s="57"/>
      <c r="R538" s="2124"/>
      <c r="S538" s="257"/>
    </row>
    <row r="539" spans="1:19">
      <c r="A539" s="257"/>
      <c r="B539" s="57"/>
      <c r="C539" s="57"/>
      <c r="D539" s="57"/>
      <c r="E539" s="57"/>
      <c r="F539" s="57"/>
      <c r="G539" s="57"/>
      <c r="H539" s="57"/>
      <c r="I539" s="57"/>
      <c r="J539" s="57"/>
      <c r="K539" s="57"/>
      <c r="L539" s="57"/>
      <c r="M539" s="57"/>
      <c r="N539" s="57"/>
      <c r="O539" s="57"/>
      <c r="P539" s="57"/>
      <c r="Q539" s="57"/>
      <c r="R539" s="2124"/>
      <c r="S539" s="257"/>
    </row>
    <row r="540" spans="1:19">
      <c r="A540" s="257"/>
      <c r="B540" s="57"/>
      <c r="C540" s="57"/>
      <c r="D540" s="57"/>
      <c r="E540" s="57"/>
      <c r="F540" s="57"/>
      <c r="G540" s="57"/>
      <c r="H540" s="57"/>
      <c r="I540" s="57"/>
      <c r="J540" s="57"/>
      <c r="K540" s="57"/>
      <c r="L540" s="57"/>
      <c r="M540" s="57"/>
      <c r="N540" s="57"/>
      <c r="O540" s="57"/>
      <c r="P540" s="57"/>
      <c r="Q540" s="57"/>
      <c r="R540" s="2124"/>
      <c r="S540" s="257"/>
    </row>
    <row r="541" spans="1:19">
      <c r="A541" s="257"/>
      <c r="B541" s="57"/>
      <c r="C541" s="57"/>
      <c r="D541" s="57"/>
      <c r="E541" s="57"/>
      <c r="F541" s="57"/>
      <c r="G541" s="57"/>
      <c r="H541" s="57"/>
      <c r="I541" s="57"/>
      <c r="J541" s="57"/>
      <c r="K541" s="57"/>
      <c r="L541" s="57"/>
      <c r="M541" s="57"/>
      <c r="N541" s="57"/>
      <c r="O541" s="57"/>
      <c r="P541" s="57"/>
      <c r="Q541" s="57"/>
      <c r="R541" s="2124"/>
      <c r="S541" s="257"/>
    </row>
    <row r="542" spans="1:19">
      <c r="A542" s="257"/>
      <c r="B542" s="57"/>
      <c r="C542" s="57"/>
      <c r="D542" s="57"/>
      <c r="E542" s="57"/>
      <c r="F542" s="57"/>
      <c r="G542" s="57"/>
      <c r="H542" s="57"/>
      <c r="I542" s="57"/>
      <c r="J542" s="57"/>
      <c r="K542" s="57"/>
      <c r="L542" s="57"/>
      <c r="M542" s="57"/>
      <c r="N542" s="57"/>
      <c r="O542" s="57"/>
      <c r="P542" s="57"/>
      <c r="Q542" s="57"/>
      <c r="R542" s="2124"/>
      <c r="S542" s="257"/>
    </row>
    <row r="543" spans="1:19">
      <c r="A543" s="257"/>
      <c r="B543" s="57"/>
      <c r="C543" s="57"/>
      <c r="D543" s="57"/>
      <c r="E543" s="57"/>
      <c r="F543" s="57"/>
      <c r="G543" s="57"/>
      <c r="H543" s="57"/>
      <c r="I543" s="57"/>
      <c r="J543" s="57"/>
      <c r="K543" s="57"/>
      <c r="L543" s="57"/>
      <c r="M543" s="57"/>
      <c r="N543" s="57"/>
      <c r="O543" s="57"/>
      <c r="P543" s="57"/>
      <c r="Q543" s="57"/>
      <c r="R543" s="2124"/>
      <c r="S543" s="257"/>
    </row>
    <row r="544" spans="1:19">
      <c r="A544" s="257"/>
      <c r="B544" s="57"/>
      <c r="C544" s="57"/>
      <c r="D544" s="57"/>
      <c r="E544" s="57"/>
      <c r="F544" s="57"/>
      <c r="G544" s="57"/>
      <c r="H544" s="57"/>
      <c r="I544" s="57"/>
      <c r="J544" s="57"/>
      <c r="K544" s="57"/>
      <c r="L544" s="57"/>
      <c r="M544" s="57"/>
      <c r="N544" s="57"/>
      <c r="O544" s="57"/>
      <c r="P544" s="57"/>
      <c r="Q544" s="57"/>
      <c r="R544" s="2124"/>
      <c r="S544" s="257"/>
    </row>
    <row r="545" spans="1:19">
      <c r="A545" s="257"/>
      <c r="B545" s="57"/>
      <c r="C545" s="57"/>
      <c r="D545" s="57"/>
      <c r="E545" s="57"/>
      <c r="F545" s="57"/>
      <c r="G545" s="57"/>
      <c r="H545" s="57"/>
      <c r="I545" s="57"/>
      <c r="J545" s="57"/>
      <c r="K545" s="57"/>
      <c r="L545" s="57"/>
      <c r="M545" s="57"/>
      <c r="N545" s="57"/>
      <c r="O545" s="57"/>
      <c r="P545" s="57"/>
      <c r="Q545" s="57"/>
      <c r="R545" s="2124"/>
      <c r="S545" s="257"/>
    </row>
    <row r="546" spans="1:19">
      <c r="A546" s="257"/>
      <c r="B546" s="57"/>
      <c r="C546" s="57"/>
      <c r="D546" s="57"/>
      <c r="E546" s="57"/>
      <c r="F546" s="57"/>
      <c r="G546" s="57"/>
      <c r="H546" s="57"/>
      <c r="I546" s="57"/>
      <c r="J546" s="57"/>
      <c r="K546" s="57"/>
      <c r="L546" s="57"/>
      <c r="M546" s="57"/>
      <c r="N546" s="57"/>
      <c r="O546" s="57"/>
      <c r="P546" s="57"/>
      <c r="Q546" s="57"/>
      <c r="R546" s="2124"/>
      <c r="S546" s="257"/>
    </row>
    <row r="547" spans="1:19">
      <c r="A547" s="257"/>
      <c r="B547" s="57"/>
      <c r="C547" s="57"/>
      <c r="D547" s="57"/>
      <c r="E547" s="57"/>
      <c r="F547" s="57"/>
      <c r="G547" s="57"/>
      <c r="H547" s="57"/>
      <c r="I547" s="57"/>
      <c r="J547" s="57"/>
      <c r="K547" s="57"/>
      <c r="L547" s="57"/>
      <c r="M547" s="57"/>
      <c r="N547" s="57"/>
      <c r="O547" s="57"/>
      <c r="P547" s="57"/>
      <c r="Q547" s="57"/>
      <c r="R547" s="2124"/>
      <c r="S547" s="257"/>
    </row>
    <row r="548" spans="1:19">
      <c r="A548" s="257"/>
      <c r="B548" s="57"/>
      <c r="C548" s="57"/>
      <c r="D548" s="57"/>
      <c r="E548" s="57"/>
      <c r="F548" s="57"/>
      <c r="G548" s="57"/>
      <c r="H548" s="57"/>
      <c r="I548" s="57"/>
      <c r="J548" s="57"/>
      <c r="K548" s="57"/>
      <c r="L548" s="57"/>
      <c r="M548" s="57"/>
      <c r="N548" s="57"/>
      <c r="O548" s="57"/>
      <c r="P548" s="57"/>
      <c r="Q548" s="57"/>
      <c r="R548" s="2124"/>
      <c r="S548" s="257"/>
    </row>
    <row r="549" spans="1:19">
      <c r="A549" s="257"/>
      <c r="B549" s="57"/>
      <c r="C549" s="57"/>
      <c r="D549" s="57"/>
      <c r="E549" s="57"/>
      <c r="F549" s="57"/>
      <c r="G549" s="57"/>
      <c r="H549" s="57"/>
      <c r="I549" s="57"/>
      <c r="J549" s="57"/>
      <c r="K549" s="57"/>
      <c r="L549" s="57"/>
      <c r="M549" s="57"/>
      <c r="N549" s="57"/>
      <c r="O549" s="57"/>
      <c r="P549" s="57"/>
      <c r="Q549" s="57"/>
      <c r="R549" s="2124"/>
      <c r="S549" s="257"/>
    </row>
    <row r="550" spans="1:19">
      <c r="A550" s="257"/>
      <c r="B550" s="57"/>
      <c r="C550" s="57"/>
      <c r="D550" s="57"/>
      <c r="E550" s="57"/>
      <c r="F550" s="57"/>
      <c r="G550" s="57"/>
      <c r="H550" s="57"/>
      <c r="I550" s="57"/>
      <c r="J550" s="57"/>
      <c r="K550" s="57"/>
      <c r="L550" s="57"/>
      <c r="M550" s="57"/>
      <c r="N550" s="57"/>
      <c r="O550" s="57"/>
      <c r="P550" s="57"/>
      <c r="Q550" s="57"/>
      <c r="R550" s="2124"/>
      <c r="S550" s="257"/>
    </row>
    <row r="551" spans="1:19">
      <c r="A551" s="257"/>
      <c r="B551" s="57"/>
      <c r="C551" s="57"/>
      <c r="D551" s="57"/>
      <c r="E551" s="57"/>
      <c r="F551" s="57"/>
      <c r="G551" s="57"/>
      <c r="H551" s="57"/>
      <c r="I551" s="57"/>
      <c r="J551" s="57"/>
      <c r="K551" s="57"/>
      <c r="L551" s="57"/>
      <c r="M551" s="57"/>
      <c r="N551" s="57"/>
      <c r="O551" s="57"/>
      <c r="P551" s="57"/>
      <c r="Q551" s="57"/>
      <c r="R551" s="2124"/>
      <c r="S551" s="257"/>
    </row>
    <row r="552" spans="1:19">
      <c r="A552" s="257"/>
      <c r="B552" s="57"/>
      <c r="C552" s="57"/>
      <c r="D552" s="57"/>
      <c r="E552" s="57"/>
      <c r="F552" s="57"/>
      <c r="G552" s="57"/>
      <c r="H552" s="57"/>
      <c r="I552" s="57"/>
      <c r="J552" s="57"/>
      <c r="K552" s="57"/>
      <c r="L552" s="57"/>
      <c r="M552" s="57"/>
      <c r="N552" s="57"/>
      <c r="O552" s="57"/>
      <c r="P552" s="57"/>
      <c r="Q552" s="57"/>
      <c r="R552" s="2124"/>
      <c r="S552" s="257"/>
    </row>
    <row r="553" spans="1:19">
      <c r="A553" s="257"/>
      <c r="B553" s="57"/>
      <c r="C553" s="57"/>
      <c r="D553" s="57"/>
      <c r="E553" s="57"/>
      <c r="F553" s="57"/>
      <c r="G553" s="57"/>
      <c r="H553" s="57"/>
      <c r="I553" s="57"/>
      <c r="J553" s="57"/>
      <c r="K553" s="57"/>
      <c r="L553" s="57"/>
      <c r="M553" s="57"/>
      <c r="N553" s="57"/>
      <c r="O553" s="57"/>
      <c r="P553" s="57"/>
      <c r="Q553" s="57"/>
      <c r="R553" s="2124"/>
      <c r="S553" s="257"/>
    </row>
    <row r="554" spans="1:19">
      <c r="A554" s="257"/>
      <c r="B554" s="57"/>
      <c r="C554" s="57"/>
      <c r="D554" s="57"/>
      <c r="E554" s="57"/>
      <c r="F554" s="57"/>
      <c r="G554" s="57"/>
      <c r="H554" s="57"/>
      <c r="I554" s="57"/>
      <c r="J554" s="57"/>
      <c r="K554" s="57"/>
      <c r="L554" s="57"/>
      <c r="M554" s="57"/>
      <c r="N554" s="57"/>
      <c r="O554" s="57"/>
      <c r="P554" s="57"/>
      <c r="Q554" s="57"/>
      <c r="R554" s="2124"/>
      <c r="S554" s="257"/>
    </row>
    <row r="555" spans="1:19">
      <c r="A555" s="257"/>
      <c r="B555" s="57"/>
      <c r="C555" s="57"/>
      <c r="D555" s="57"/>
      <c r="E555" s="57"/>
      <c r="F555" s="57"/>
      <c r="G555" s="57"/>
      <c r="H555" s="57"/>
      <c r="I555" s="57"/>
      <c r="J555" s="57"/>
      <c r="K555" s="57"/>
      <c r="L555" s="57"/>
      <c r="M555" s="57"/>
      <c r="N555" s="57"/>
      <c r="O555" s="57"/>
      <c r="P555" s="57"/>
      <c r="Q555" s="57"/>
      <c r="R555" s="2124"/>
      <c r="S555" s="257"/>
    </row>
    <row r="556" spans="1:19">
      <c r="A556" s="257"/>
      <c r="B556" s="57"/>
      <c r="C556" s="57"/>
      <c r="D556" s="57"/>
      <c r="E556" s="57"/>
      <c r="F556" s="57"/>
      <c r="G556" s="57"/>
      <c r="H556" s="57"/>
      <c r="I556" s="57"/>
      <c r="J556" s="57"/>
      <c r="K556" s="57"/>
      <c r="L556" s="57"/>
      <c r="M556" s="57"/>
      <c r="N556" s="57"/>
      <c r="O556" s="57"/>
      <c r="P556" s="57"/>
      <c r="Q556" s="57"/>
      <c r="R556" s="2124"/>
      <c r="S556" s="257"/>
    </row>
    <row r="557" spans="1:19">
      <c r="A557" s="257"/>
      <c r="B557" s="57"/>
      <c r="C557" s="57"/>
      <c r="D557" s="57"/>
      <c r="E557" s="57"/>
      <c r="F557" s="57"/>
      <c r="G557" s="57"/>
      <c r="H557" s="57"/>
      <c r="I557" s="57"/>
      <c r="J557" s="57"/>
      <c r="K557" s="57"/>
      <c r="L557" s="57"/>
      <c r="M557" s="57"/>
      <c r="N557" s="57"/>
      <c r="O557" s="57"/>
      <c r="P557" s="57"/>
      <c r="Q557" s="57"/>
      <c r="R557" s="2124"/>
      <c r="S557" s="257"/>
    </row>
    <row r="558" spans="1:19">
      <c r="A558" s="257"/>
      <c r="B558" s="57"/>
      <c r="C558" s="57"/>
      <c r="D558" s="57"/>
      <c r="E558" s="57"/>
      <c r="F558" s="57"/>
      <c r="G558" s="57"/>
      <c r="H558" s="57"/>
      <c r="I558" s="57"/>
      <c r="J558" s="57"/>
      <c r="K558" s="57"/>
      <c r="L558" s="57"/>
      <c r="M558" s="57"/>
      <c r="N558" s="57"/>
      <c r="O558" s="57"/>
      <c r="P558" s="57"/>
      <c r="Q558" s="57"/>
      <c r="R558" s="2124"/>
      <c r="S558" s="257"/>
    </row>
    <row r="559" spans="1:19">
      <c r="A559" s="257"/>
      <c r="B559" s="57"/>
      <c r="C559" s="57"/>
      <c r="D559" s="57"/>
      <c r="E559" s="57"/>
      <c r="F559" s="57"/>
      <c r="G559" s="57"/>
      <c r="H559" s="57"/>
      <c r="I559" s="57"/>
      <c r="J559" s="57"/>
      <c r="K559" s="57"/>
      <c r="L559" s="57"/>
      <c r="M559" s="57"/>
      <c r="N559" s="57"/>
      <c r="O559" s="57"/>
      <c r="P559" s="57"/>
      <c r="Q559" s="57"/>
      <c r="R559" s="2124"/>
      <c r="S559" s="257"/>
    </row>
    <row r="560" spans="1:19">
      <c r="A560" s="257"/>
      <c r="B560" s="57"/>
      <c r="C560" s="57"/>
      <c r="D560" s="57"/>
      <c r="E560" s="57"/>
      <c r="F560" s="57"/>
      <c r="G560" s="57"/>
      <c r="H560" s="57"/>
      <c r="I560" s="57"/>
      <c r="J560" s="57"/>
      <c r="K560" s="57"/>
      <c r="L560" s="57"/>
      <c r="M560" s="57"/>
      <c r="N560" s="57"/>
      <c r="O560" s="57"/>
      <c r="P560" s="57"/>
      <c r="Q560" s="57"/>
      <c r="R560" s="2124"/>
      <c r="S560" s="257"/>
    </row>
    <row r="561" spans="1:19">
      <c r="A561" s="257"/>
      <c r="B561" s="57"/>
      <c r="C561" s="57"/>
      <c r="D561" s="57"/>
      <c r="E561" s="57"/>
      <c r="F561" s="57"/>
      <c r="G561" s="57"/>
      <c r="H561" s="57"/>
      <c r="I561" s="57"/>
      <c r="J561" s="57"/>
      <c r="K561" s="57"/>
      <c r="L561" s="57"/>
      <c r="M561" s="57"/>
      <c r="N561" s="57"/>
      <c r="O561" s="57"/>
      <c r="P561" s="57"/>
      <c r="Q561" s="57"/>
      <c r="R561" s="2124"/>
      <c r="S561" s="257"/>
    </row>
    <row r="562" spans="1:19">
      <c r="A562" s="257"/>
      <c r="B562" s="57"/>
      <c r="C562" s="57"/>
      <c r="D562" s="57"/>
      <c r="E562" s="57"/>
      <c r="F562" s="57"/>
      <c r="G562" s="57"/>
      <c r="H562" s="57"/>
      <c r="I562" s="57"/>
      <c r="J562" s="57"/>
      <c r="K562" s="57"/>
      <c r="L562" s="57"/>
      <c r="M562" s="57"/>
      <c r="N562" s="57"/>
      <c r="O562" s="57"/>
      <c r="P562" s="57"/>
      <c r="Q562" s="57"/>
      <c r="R562" s="2124"/>
      <c r="S562" s="257"/>
    </row>
    <row r="563" spans="1:19">
      <c r="A563" s="257"/>
      <c r="B563" s="57"/>
      <c r="C563" s="57"/>
      <c r="D563" s="57"/>
      <c r="E563" s="57"/>
      <c r="F563" s="57"/>
      <c r="G563" s="57"/>
      <c r="H563" s="57"/>
      <c r="I563" s="57"/>
      <c r="J563" s="57"/>
      <c r="K563" s="57"/>
      <c r="L563" s="57"/>
      <c r="M563" s="57"/>
      <c r="N563" s="57"/>
      <c r="O563" s="57"/>
      <c r="P563" s="57"/>
      <c r="Q563" s="57"/>
      <c r="R563" s="2124"/>
      <c r="S563" s="257"/>
    </row>
    <row r="564" spans="1:19">
      <c r="A564" s="257"/>
      <c r="B564" s="57"/>
      <c r="C564" s="57"/>
      <c r="D564" s="57"/>
      <c r="E564" s="57"/>
      <c r="F564" s="57"/>
      <c r="G564" s="57"/>
      <c r="H564" s="57"/>
      <c r="I564" s="57"/>
      <c r="J564" s="57"/>
      <c r="K564" s="57"/>
      <c r="L564" s="57"/>
      <c r="M564" s="57"/>
      <c r="N564" s="57"/>
      <c r="O564" s="57"/>
      <c r="P564" s="57"/>
      <c r="Q564" s="57"/>
      <c r="R564" s="2124"/>
      <c r="S564" s="257"/>
    </row>
    <row r="565" spans="1:19">
      <c r="A565" s="257"/>
      <c r="B565" s="57"/>
      <c r="C565" s="57"/>
      <c r="D565" s="57"/>
      <c r="E565" s="57"/>
      <c r="F565" s="57"/>
      <c r="G565" s="57"/>
      <c r="H565" s="57"/>
      <c r="I565" s="57"/>
      <c r="J565" s="57"/>
      <c r="K565" s="57"/>
      <c r="L565" s="57"/>
      <c r="M565" s="57"/>
      <c r="N565" s="57"/>
      <c r="O565" s="57"/>
      <c r="P565" s="57"/>
      <c r="Q565" s="57"/>
      <c r="R565" s="2124"/>
      <c r="S565" s="257"/>
    </row>
    <row r="566" spans="1:19">
      <c r="A566" s="257"/>
      <c r="B566" s="57"/>
      <c r="C566" s="57"/>
      <c r="D566" s="57"/>
      <c r="E566" s="57"/>
      <c r="F566" s="57"/>
      <c r="G566" s="57"/>
      <c r="H566" s="57"/>
      <c r="I566" s="57"/>
      <c r="J566" s="57"/>
      <c r="K566" s="57"/>
      <c r="L566" s="57"/>
      <c r="M566" s="57"/>
      <c r="N566" s="57"/>
      <c r="O566" s="57"/>
      <c r="P566" s="57"/>
      <c r="Q566" s="57"/>
      <c r="R566" s="2124"/>
      <c r="S566" s="257"/>
    </row>
    <row r="567" spans="1:19">
      <c r="A567" s="257"/>
      <c r="B567" s="57"/>
      <c r="C567" s="57"/>
      <c r="D567" s="57"/>
      <c r="E567" s="57"/>
      <c r="F567" s="57"/>
      <c r="G567" s="57"/>
      <c r="H567" s="57"/>
      <c r="I567" s="57"/>
      <c r="J567" s="57"/>
      <c r="K567" s="57"/>
      <c r="L567" s="57"/>
      <c r="M567" s="57"/>
      <c r="N567" s="57"/>
      <c r="O567" s="57"/>
      <c r="P567" s="57"/>
      <c r="Q567" s="57"/>
      <c r="R567" s="2124"/>
      <c r="S567" s="257"/>
    </row>
    <row r="568" spans="1:19">
      <c r="A568" s="257"/>
      <c r="B568" s="57"/>
      <c r="C568" s="57"/>
      <c r="D568" s="57"/>
      <c r="E568" s="57"/>
      <c r="F568" s="57"/>
      <c r="G568" s="57"/>
      <c r="H568" s="57"/>
      <c r="I568" s="57"/>
      <c r="J568" s="57"/>
      <c r="K568" s="57"/>
      <c r="L568" s="57"/>
      <c r="M568" s="57"/>
      <c r="N568" s="57"/>
      <c r="O568" s="57"/>
      <c r="P568" s="57"/>
      <c r="Q568" s="57"/>
      <c r="R568" s="2124"/>
      <c r="S568" s="257"/>
    </row>
    <row r="569" spans="1:19">
      <c r="A569" s="257"/>
      <c r="B569" s="57"/>
      <c r="C569" s="57"/>
      <c r="D569" s="57"/>
      <c r="E569" s="57"/>
      <c r="F569" s="57"/>
      <c r="G569" s="57"/>
      <c r="H569" s="57"/>
      <c r="I569" s="57"/>
      <c r="J569" s="57"/>
      <c r="K569" s="57"/>
      <c r="L569" s="57"/>
      <c r="M569" s="57"/>
      <c r="N569" s="57"/>
      <c r="O569" s="57"/>
      <c r="P569" s="57"/>
      <c r="Q569" s="57"/>
      <c r="R569" s="2124"/>
      <c r="S569" s="257"/>
    </row>
    <row r="570" spans="1:19">
      <c r="A570" s="257"/>
      <c r="B570" s="57"/>
      <c r="C570" s="57"/>
      <c r="D570" s="57"/>
      <c r="E570" s="57"/>
      <c r="F570" s="57"/>
      <c r="G570" s="57"/>
      <c r="H570" s="57"/>
      <c r="I570" s="57"/>
      <c r="J570" s="57"/>
      <c r="K570" s="57"/>
      <c r="L570" s="57"/>
      <c r="M570" s="57"/>
      <c r="N570" s="57"/>
      <c r="O570" s="57"/>
      <c r="P570" s="57"/>
      <c r="Q570" s="57"/>
      <c r="R570" s="2124"/>
      <c r="S570" s="257"/>
    </row>
    <row r="571" spans="1:19">
      <c r="A571" s="257"/>
      <c r="B571" s="57"/>
      <c r="C571" s="57"/>
      <c r="D571" s="57"/>
      <c r="E571" s="57"/>
      <c r="F571" s="57"/>
      <c r="G571" s="57"/>
      <c r="H571" s="57"/>
      <c r="I571" s="57"/>
      <c r="J571" s="57"/>
      <c r="K571" s="57"/>
      <c r="L571" s="57"/>
      <c r="M571" s="57"/>
      <c r="N571" s="57"/>
      <c r="O571" s="57"/>
      <c r="P571" s="57"/>
      <c r="Q571" s="57"/>
      <c r="R571" s="2124"/>
      <c r="S571" s="257"/>
    </row>
    <row r="572" spans="1:19">
      <c r="A572" s="257"/>
      <c r="B572" s="57"/>
      <c r="C572" s="57"/>
      <c r="D572" s="57"/>
      <c r="E572" s="57"/>
      <c r="F572" s="57"/>
      <c r="G572" s="57"/>
      <c r="H572" s="57"/>
      <c r="I572" s="57"/>
      <c r="J572" s="57"/>
      <c r="K572" s="57"/>
      <c r="L572" s="57"/>
      <c r="M572" s="57"/>
      <c r="N572" s="57"/>
      <c r="O572" s="57"/>
      <c r="P572" s="57"/>
      <c r="Q572" s="57"/>
      <c r="R572" s="2124"/>
      <c r="S572" s="257"/>
    </row>
    <row r="573" spans="1:19">
      <c r="A573" s="257"/>
      <c r="B573" s="57"/>
      <c r="C573" s="57"/>
      <c r="D573" s="57"/>
      <c r="E573" s="57"/>
      <c r="F573" s="57"/>
      <c r="G573" s="57"/>
      <c r="H573" s="57"/>
      <c r="I573" s="57"/>
      <c r="J573" s="57"/>
      <c r="K573" s="57"/>
      <c r="L573" s="57"/>
      <c r="M573" s="57"/>
      <c r="N573" s="57"/>
      <c r="O573" s="57"/>
      <c r="P573" s="57"/>
      <c r="Q573" s="57"/>
      <c r="R573" s="2124"/>
      <c r="S573" s="257"/>
    </row>
    <row r="574" spans="1:19">
      <c r="A574" s="257"/>
      <c r="B574" s="57"/>
      <c r="C574" s="57"/>
      <c r="D574" s="57"/>
      <c r="E574" s="57"/>
      <c r="F574" s="57"/>
      <c r="G574" s="57"/>
      <c r="H574" s="57"/>
      <c r="I574" s="57"/>
      <c r="J574" s="57"/>
      <c r="K574" s="57"/>
      <c r="L574" s="57"/>
      <c r="M574" s="57"/>
      <c r="N574" s="57"/>
      <c r="O574" s="57"/>
      <c r="P574" s="57"/>
      <c r="Q574" s="57"/>
      <c r="R574" s="2124"/>
      <c r="S574" s="257"/>
    </row>
    <row r="575" spans="1:19">
      <c r="A575" s="257"/>
      <c r="B575" s="57"/>
      <c r="C575" s="57"/>
      <c r="D575" s="57"/>
      <c r="E575" s="57"/>
      <c r="F575" s="57"/>
      <c r="G575" s="57"/>
      <c r="H575" s="57"/>
      <c r="I575" s="57"/>
      <c r="J575" s="57"/>
      <c r="K575" s="57"/>
      <c r="L575" s="57"/>
      <c r="M575" s="57"/>
      <c r="N575" s="57"/>
      <c r="O575" s="57"/>
      <c r="P575" s="57"/>
      <c r="Q575" s="57"/>
      <c r="R575" s="2124"/>
      <c r="S575" s="257"/>
    </row>
    <row r="576" spans="1:19">
      <c r="A576" s="257"/>
      <c r="B576" s="57"/>
      <c r="C576" s="57"/>
      <c r="D576" s="57"/>
      <c r="E576" s="57"/>
      <c r="F576" s="57"/>
      <c r="G576" s="57"/>
      <c r="H576" s="57"/>
      <c r="I576" s="57"/>
      <c r="J576" s="57"/>
      <c r="K576" s="57"/>
      <c r="L576" s="57"/>
      <c r="M576" s="57"/>
      <c r="N576" s="57"/>
      <c r="O576" s="57"/>
      <c r="P576" s="57"/>
      <c r="Q576" s="57"/>
      <c r="R576" s="2124"/>
      <c r="S576" s="257"/>
    </row>
    <row r="577" spans="1:19">
      <c r="A577" s="257"/>
      <c r="B577" s="57"/>
      <c r="C577" s="57"/>
      <c r="D577" s="57"/>
      <c r="E577" s="57"/>
      <c r="F577" s="57"/>
      <c r="G577" s="57"/>
      <c r="H577" s="57"/>
      <c r="I577" s="57"/>
      <c r="J577" s="57"/>
      <c r="K577" s="57"/>
      <c r="L577" s="57"/>
      <c r="M577" s="57"/>
      <c r="N577" s="57"/>
      <c r="O577" s="57"/>
      <c r="P577" s="57"/>
      <c r="Q577" s="57"/>
      <c r="R577" s="2124"/>
      <c r="S577" s="257"/>
    </row>
    <row r="578" spans="1:19">
      <c r="A578" s="257"/>
      <c r="B578" s="57"/>
      <c r="C578" s="57"/>
      <c r="D578" s="57"/>
      <c r="E578" s="57"/>
      <c r="F578" s="57"/>
      <c r="G578" s="57"/>
      <c r="H578" s="57"/>
      <c r="I578" s="57"/>
      <c r="J578" s="57"/>
      <c r="K578" s="57"/>
      <c r="L578" s="57"/>
      <c r="M578" s="57"/>
      <c r="N578" s="57"/>
      <c r="O578" s="57"/>
      <c r="P578" s="57"/>
      <c r="Q578" s="57"/>
      <c r="R578" s="2124"/>
      <c r="S578" s="257"/>
    </row>
    <row r="579" spans="1:19">
      <c r="A579" s="257"/>
      <c r="B579" s="57"/>
      <c r="C579" s="57"/>
      <c r="D579" s="57"/>
      <c r="E579" s="57"/>
      <c r="F579" s="57"/>
      <c r="G579" s="57"/>
      <c r="H579" s="57"/>
      <c r="I579" s="57"/>
      <c r="J579" s="57"/>
      <c r="K579" s="57"/>
      <c r="L579" s="57"/>
      <c r="M579" s="57"/>
      <c r="N579" s="57"/>
      <c r="O579" s="57"/>
      <c r="P579" s="57"/>
      <c r="Q579" s="57"/>
      <c r="R579" s="2124"/>
      <c r="S579" s="257"/>
    </row>
    <row r="580" spans="1:19">
      <c r="A580" s="257"/>
      <c r="B580" s="57"/>
      <c r="C580" s="57"/>
      <c r="D580" s="57"/>
      <c r="E580" s="57"/>
      <c r="F580" s="57"/>
      <c r="G580" s="57"/>
      <c r="H580" s="57"/>
      <c r="I580" s="57"/>
      <c r="J580" s="57"/>
      <c r="K580" s="57"/>
      <c r="L580" s="57"/>
      <c r="M580" s="57"/>
      <c r="N580" s="57"/>
      <c r="O580" s="57"/>
      <c r="P580" s="57"/>
      <c r="Q580" s="57"/>
      <c r="R580" s="2124"/>
      <c r="S580" s="257"/>
    </row>
    <row r="581" spans="1:19">
      <c r="A581" s="257"/>
      <c r="B581" s="57"/>
      <c r="C581" s="57"/>
      <c r="D581" s="57"/>
      <c r="E581" s="57"/>
      <c r="F581" s="57"/>
      <c r="G581" s="57"/>
      <c r="H581" s="57"/>
      <c r="I581" s="57"/>
      <c r="J581" s="57"/>
      <c r="K581" s="57"/>
      <c r="L581" s="57"/>
      <c r="M581" s="57"/>
      <c r="N581" s="57"/>
      <c r="O581" s="57"/>
      <c r="P581" s="57"/>
      <c r="Q581" s="57"/>
      <c r="R581" s="2124"/>
      <c r="S581" s="257"/>
    </row>
    <row r="582" spans="1:19">
      <c r="A582" s="257"/>
      <c r="B582" s="57"/>
      <c r="C582" s="57"/>
      <c r="D582" s="57"/>
      <c r="E582" s="57"/>
      <c r="F582" s="57"/>
      <c r="G582" s="57"/>
      <c r="H582" s="57"/>
      <c r="I582" s="57"/>
      <c r="J582" s="57"/>
      <c r="K582" s="57"/>
      <c r="L582" s="57"/>
      <c r="M582" s="57"/>
      <c r="N582" s="57"/>
      <c r="O582" s="57"/>
      <c r="P582" s="57"/>
      <c r="Q582" s="57"/>
      <c r="R582" s="2124"/>
      <c r="S582" s="257"/>
    </row>
    <row r="583" spans="1:19">
      <c r="A583" s="257"/>
      <c r="B583" s="57"/>
      <c r="C583" s="57"/>
      <c r="D583" s="57"/>
      <c r="E583" s="57"/>
      <c r="F583" s="57"/>
      <c r="G583" s="57"/>
      <c r="H583" s="57"/>
      <c r="I583" s="57"/>
      <c r="J583" s="57"/>
      <c r="K583" s="57"/>
      <c r="L583" s="57"/>
      <c r="M583" s="57"/>
      <c r="N583" s="57"/>
      <c r="O583" s="57"/>
      <c r="P583" s="57"/>
      <c r="Q583" s="57"/>
      <c r="R583" s="2124"/>
      <c r="S583" s="257"/>
    </row>
    <row r="584" spans="1:19">
      <c r="A584" s="257"/>
      <c r="B584" s="57"/>
      <c r="C584" s="57"/>
      <c r="D584" s="57"/>
      <c r="E584" s="57"/>
      <c r="F584" s="57"/>
      <c r="G584" s="57"/>
      <c r="H584" s="57"/>
      <c r="I584" s="57"/>
      <c r="J584" s="57"/>
      <c r="K584" s="57"/>
      <c r="L584" s="57"/>
      <c r="M584" s="57"/>
      <c r="N584" s="57"/>
      <c r="O584" s="57"/>
      <c r="P584" s="57"/>
      <c r="Q584" s="57"/>
      <c r="R584" s="2124"/>
      <c r="S584" s="257"/>
    </row>
    <row r="585" spans="1:19">
      <c r="A585" s="257"/>
      <c r="B585" s="57"/>
      <c r="C585" s="57"/>
      <c r="D585" s="57"/>
      <c r="E585" s="57"/>
      <c r="F585" s="57"/>
      <c r="G585" s="57"/>
      <c r="H585" s="57"/>
      <c r="I585" s="57"/>
      <c r="J585" s="57"/>
      <c r="K585" s="57"/>
      <c r="L585" s="57"/>
      <c r="M585" s="57"/>
      <c r="N585" s="57"/>
      <c r="O585" s="57"/>
      <c r="P585" s="57"/>
      <c r="Q585" s="57"/>
      <c r="R585" s="2124"/>
      <c r="S585" s="257"/>
    </row>
    <row r="586" spans="1:19">
      <c r="A586" s="257"/>
      <c r="B586" s="57"/>
      <c r="C586" s="57"/>
      <c r="D586" s="57"/>
      <c r="E586" s="57"/>
      <c r="F586" s="57"/>
      <c r="G586" s="57"/>
      <c r="H586" s="57"/>
      <c r="I586" s="57"/>
      <c r="J586" s="57"/>
      <c r="K586" s="57"/>
      <c r="L586" s="57"/>
      <c r="M586" s="57"/>
      <c r="N586" s="57"/>
      <c r="O586" s="57"/>
      <c r="P586" s="57"/>
      <c r="Q586" s="57"/>
      <c r="R586" s="2124"/>
      <c r="S586" s="257"/>
    </row>
    <row r="587" spans="1:19">
      <c r="A587" s="257"/>
      <c r="B587" s="57"/>
      <c r="C587" s="57"/>
      <c r="D587" s="57"/>
      <c r="E587" s="57"/>
      <c r="F587" s="57"/>
      <c r="G587" s="57"/>
      <c r="H587" s="57"/>
      <c r="I587" s="57"/>
      <c r="J587" s="57"/>
      <c r="K587" s="57"/>
      <c r="L587" s="57"/>
      <c r="M587" s="57"/>
      <c r="N587" s="57"/>
      <c r="O587" s="57"/>
      <c r="P587" s="57"/>
      <c r="Q587" s="57"/>
      <c r="R587" s="2124"/>
      <c r="S587" s="257"/>
    </row>
    <row r="588" spans="1:19">
      <c r="A588" s="257"/>
      <c r="B588" s="57"/>
      <c r="C588" s="57"/>
      <c r="D588" s="57"/>
      <c r="E588" s="57"/>
      <c r="F588" s="57"/>
      <c r="G588" s="57"/>
      <c r="H588" s="57"/>
      <c r="I588" s="57"/>
      <c r="J588" s="57"/>
      <c r="K588" s="57"/>
      <c r="L588" s="57"/>
      <c r="M588" s="57"/>
      <c r="N588" s="57"/>
      <c r="O588" s="57"/>
      <c r="P588" s="57"/>
      <c r="Q588" s="57"/>
      <c r="R588" s="2124"/>
      <c r="S588" s="257"/>
    </row>
    <row r="589" spans="1:19">
      <c r="A589" s="257"/>
      <c r="B589" s="57"/>
      <c r="C589" s="57"/>
      <c r="D589" s="57"/>
      <c r="E589" s="57"/>
      <c r="F589" s="57"/>
      <c r="G589" s="57"/>
      <c r="H589" s="57"/>
      <c r="I589" s="57"/>
      <c r="J589" s="57"/>
      <c r="K589" s="57"/>
      <c r="L589" s="57"/>
      <c r="M589" s="57"/>
      <c r="N589" s="57"/>
      <c r="O589" s="57"/>
      <c r="P589" s="57"/>
      <c r="Q589" s="57"/>
      <c r="R589" s="2124"/>
      <c r="S589" s="257"/>
    </row>
    <row r="590" spans="1:19">
      <c r="A590" s="257"/>
      <c r="B590" s="57"/>
      <c r="C590" s="57"/>
      <c r="D590" s="57"/>
      <c r="E590" s="57"/>
      <c r="F590" s="57"/>
      <c r="G590" s="57"/>
      <c r="H590" s="57"/>
      <c r="I590" s="57"/>
      <c r="J590" s="57"/>
      <c r="K590" s="57"/>
      <c r="L590" s="57"/>
      <c r="M590" s="57"/>
      <c r="N590" s="57"/>
      <c r="O590" s="57"/>
      <c r="P590" s="57"/>
      <c r="Q590" s="57"/>
      <c r="R590" s="2124"/>
      <c r="S590" s="257"/>
    </row>
    <row r="591" spans="1:19">
      <c r="A591" s="257"/>
      <c r="B591" s="57"/>
      <c r="C591" s="57"/>
      <c r="D591" s="57"/>
      <c r="E591" s="57"/>
      <c r="F591" s="57"/>
      <c r="G591" s="57"/>
      <c r="H591" s="57"/>
      <c r="I591" s="57"/>
      <c r="J591" s="57"/>
      <c r="K591" s="57"/>
      <c r="L591" s="57"/>
      <c r="M591" s="57"/>
      <c r="N591" s="57"/>
      <c r="O591" s="57"/>
      <c r="P591" s="57"/>
      <c r="Q591" s="57"/>
      <c r="R591" s="2124"/>
      <c r="S591" s="257"/>
    </row>
    <row r="592" spans="1:19">
      <c r="A592" s="257"/>
      <c r="B592" s="57"/>
      <c r="C592" s="57"/>
      <c r="D592" s="57"/>
      <c r="E592" s="57"/>
      <c r="F592" s="57"/>
      <c r="G592" s="57"/>
      <c r="H592" s="57"/>
      <c r="I592" s="57"/>
      <c r="J592" s="57"/>
      <c r="K592" s="57"/>
      <c r="L592" s="57"/>
      <c r="M592" s="57"/>
      <c r="N592" s="57"/>
      <c r="O592" s="57"/>
      <c r="P592" s="57"/>
      <c r="Q592" s="57"/>
      <c r="R592" s="2124"/>
      <c r="S592" s="257"/>
    </row>
    <row r="593" spans="1:19">
      <c r="A593" s="257"/>
      <c r="B593" s="57"/>
      <c r="C593" s="57"/>
      <c r="D593" s="57"/>
      <c r="E593" s="57"/>
      <c r="F593" s="57"/>
      <c r="G593" s="57"/>
      <c r="H593" s="57"/>
      <c r="I593" s="57"/>
      <c r="J593" s="57"/>
      <c r="K593" s="57"/>
      <c r="L593" s="57"/>
      <c r="M593" s="57"/>
      <c r="N593" s="57"/>
      <c r="O593" s="57"/>
      <c r="P593" s="57"/>
      <c r="Q593" s="57"/>
      <c r="R593" s="2124"/>
      <c r="S593" s="257"/>
    </row>
    <row r="594" spans="1:19">
      <c r="A594" s="257"/>
      <c r="B594" s="57"/>
      <c r="C594" s="57"/>
      <c r="D594" s="57"/>
      <c r="E594" s="57"/>
      <c r="F594" s="57"/>
      <c r="G594" s="57"/>
      <c r="H594" s="57"/>
      <c r="I594" s="57"/>
      <c r="J594" s="57"/>
      <c r="K594" s="57"/>
      <c r="L594" s="57"/>
      <c r="M594" s="57"/>
      <c r="N594" s="57"/>
      <c r="O594" s="57"/>
      <c r="P594" s="57"/>
      <c r="Q594" s="57"/>
      <c r="R594" s="2124"/>
      <c r="S594" s="257"/>
    </row>
    <row r="595" spans="1:19">
      <c r="A595" s="257"/>
      <c r="B595" s="57"/>
      <c r="C595" s="57"/>
      <c r="D595" s="57"/>
      <c r="E595" s="57"/>
      <c r="F595" s="57"/>
      <c r="G595" s="57"/>
      <c r="H595" s="57"/>
      <c r="I595" s="57"/>
      <c r="J595" s="57"/>
      <c r="K595" s="57"/>
      <c r="L595" s="57"/>
      <c r="M595" s="57"/>
      <c r="N595" s="57"/>
      <c r="O595" s="57"/>
      <c r="P595" s="57"/>
      <c r="Q595" s="57"/>
      <c r="R595" s="2124"/>
      <c r="S595" s="257"/>
    </row>
    <row r="596" spans="1:19">
      <c r="A596" s="257"/>
      <c r="B596" s="57"/>
      <c r="C596" s="57"/>
      <c r="D596" s="57"/>
      <c r="E596" s="57"/>
      <c r="F596" s="57"/>
      <c r="G596" s="57"/>
      <c r="H596" s="57"/>
      <c r="I596" s="57"/>
      <c r="J596" s="57"/>
      <c r="K596" s="57"/>
      <c r="L596" s="57"/>
      <c r="M596" s="57"/>
      <c r="N596" s="57"/>
      <c r="O596" s="57"/>
      <c r="P596" s="57"/>
      <c r="Q596" s="57"/>
      <c r="R596" s="2124"/>
      <c r="S596" s="257"/>
    </row>
    <row r="597" spans="1:19">
      <c r="A597" s="257"/>
      <c r="B597" s="57"/>
      <c r="C597" s="57"/>
      <c r="D597" s="57"/>
      <c r="E597" s="57"/>
      <c r="F597" s="57"/>
      <c r="G597" s="57"/>
      <c r="H597" s="57"/>
      <c r="I597" s="57"/>
      <c r="J597" s="57"/>
      <c r="K597" s="57"/>
      <c r="L597" s="57"/>
      <c r="M597" s="57"/>
      <c r="N597" s="57"/>
      <c r="O597" s="57"/>
      <c r="P597" s="57"/>
      <c r="Q597" s="57"/>
      <c r="R597" s="2124"/>
      <c r="S597" s="257"/>
    </row>
    <row r="598" spans="1:19">
      <c r="A598" s="257"/>
      <c r="B598" s="57"/>
      <c r="C598" s="57"/>
      <c r="D598" s="57"/>
      <c r="E598" s="57"/>
      <c r="F598" s="57"/>
      <c r="G598" s="57"/>
      <c r="H598" s="57"/>
      <c r="I598" s="57"/>
      <c r="J598" s="57"/>
      <c r="K598" s="57"/>
      <c r="L598" s="57"/>
      <c r="M598" s="57"/>
      <c r="N598" s="57"/>
      <c r="O598" s="57"/>
      <c r="P598" s="57"/>
      <c r="Q598" s="57"/>
      <c r="R598" s="2124"/>
      <c r="S598" s="257"/>
    </row>
    <row r="599" spans="1:19">
      <c r="A599" s="257"/>
      <c r="B599" s="57"/>
      <c r="C599" s="57"/>
      <c r="D599" s="57"/>
      <c r="E599" s="57"/>
      <c r="F599" s="57"/>
      <c r="G599" s="57"/>
      <c r="H599" s="57"/>
      <c r="I599" s="57"/>
      <c r="J599" s="57"/>
      <c r="K599" s="57"/>
      <c r="L599" s="57"/>
      <c r="M599" s="57"/>
      <c r="N599" s="57"/>
      <c r="O599" s="57"/>
      <c r="P599" s="57"/>
      <c r="Q599" s="57"/>
      <c r="R599" s="2124"/>
      <c r="S599" s="257"/>
    </row>
    <row r="600" spans="1:19">
      <c r="A600" s="257"/>
      <c r="B600" s="57"/>
      <c r="C600" s="57"/>
      <c r="D600" s="57"/>
      <c r="E600" s="57"/>
      <c r="F600" s="57"/>
      <c r="G600" s="57"/>
      <c r="H600" s="57"/>
      <c r="I600" s="57"/>
      <c r="J600" s="57"/>
      <c r="K600" s="57"/>
      <c r="L600" s="57"/>
      <c r="M600" s="57"/>
      <c r="N600" s="57"/>
      <c r="O600" s="57"/>
      <c r="P600" s="57"/>
      <c r="Q600" s="57"/>
      <c r="R600" s="2124"/>
      <c r="S600" s="257"/>
    </row>
    <row r="601" spans="1:19">
      <c r="A601" s="257"/>
      <c r="B601" s="57"/>
      <c r="C601" s="57"/>
      <c r="D601" s="57"/>
      <c r="E601" s="57"/>
      <c r="F601" s="57"/>
      <c r="G601" s="57"/>
      <c r="H601" s="57"/>
      <c r="I601" s="57"/>
      <c r="J601" s="57"/>
      <c r="K601" s="57"/>
      <c r="L601" s="57"/>
      <c r="M601" s="57"/>
      <c r="N601" s="57"/>
      <c r="O601" s="57"/>
      <c r="P601" s="57"/>
      <c r="Q601" s="57"/>
      <c r="R601" s="2124"/>
      <c r="S601" s="257"/>
    </row>
    <row r="602" spans="1:19">
      <c r="A602" s="257"/>
      <c r="B602" s="57"/>
      <c r="C602" s="57"/>
      <c r="D602" s="57"/>
      <c r="E602" s="57"/>
      <c r="F602" s="57"/>
      <c r="G602" s="57"/>
      <c r="H602" s="57"/>
      <c r="I602" s="57"/>
      <c r="J602" s="57"/>
      <c r="K602" s="57"/>
      <c r="L602" s="57"/>
      <c r="M602" s="57"/>
      <c r="N602" s="57"/>
      <c r="O602" s="57"/>
      <c r="P602" s="57"/>
      <c r="Q602" s="57"/>
      <c r="R602" s="2124"/>
      <c r="S602" s="257"/>
    </row>
    <row r="603" spans="1:19">
      <c r="A603" s="257"/>
      <c r="B603" s="57"/>
      <c r="C603" s="57"/>
      <c r="D603" s="57"/>
      <c r="E603" s="57"/>
      <c r="F603" s="57"/>
      <c r="G603" s="57"/>
      <c r="H603" s="57"/>
      <c r="I603" s="57"/>
      <c r="J603" s="57"/>
      <c r="K603" s="57"/>
      <c r="L603" s="57"/>
      <c r="M603" s="57"/>
      <c r="N603" s="57"/>
      <c r="O603" s="57"/>
      <c r="P603" s="57"/>
      <c r="Q603" s="57"/>
      <c r="R603" s="2124"/>
      <c r="S603" s="257"/>
    </row>
    <row r="604" spans="1:19">
      <c r="A604" s="257"/>
      <c r="B604" s="57"/>
      <c r="C604" s="57"/>
      <c r="D604" s="57"/>
      <c r="E604" s="57"/>
      <c r="F604" s="57"/>
      <c r="G604" s="57"/>
      <c r="H604" s="57"/>
      <c r="I604" s="57"/>
      <c r="J604" s="57"/>
      <c r="K604" s="57"/>
      <c r="L604" s="57"/>
      <c r="M604" s="57"/>
      <c r="N604" s="57"/>
      <c r="O604" s="57"/>
      <c r="P604" s="57"/>
      <c r="Q604" s="57"/>
      <c r="R604" s="2124"/>
      <c r="S604" s="257"/>
    </row>
    <row r="605" spans="1:19">
      <c r="A605" s="257"/>
      <c r="B605" s="57"/>
      <c r="C605" s="57"/>
      <c r="D605" s="57"/>
      <c r="E605" s="57"/>
      <c r="F605" s="57"/>
      <c r="G605" s="57"/>
      <c r="H605" s="57"/>
      <c r="I605" s="57"/>
      <c r="J605" s="57"/>
      <c r="K605" s="57"/>
      <c r="L605" s="57"/>
      <c r="M605" s="57"/>
      <c r="N605" s="57"/>
      <c r="O605" s="57"/>
      <c r="P605" s="57"/>
      <c r="Q605" s="57"/>
      <c r="R605" s="2124"/>
      <c r="S605" s="257"/>
    </row>
    <row r="606" spans="1:19">
      <c r="A606" s="257"/>
      <c r="B606" s="57"/>
      <c r="C606" s="57"/>
      <c r="D606" s="57"/>
      <c r="E606" s="57"/>
      <c r="F606" s="57"/>
      <c r="G606" s="57"/>
      <c r="H606" s="57"/>
      <c r="I606" s="57"/>
      <c r="J606" s="57"/>
      <c r="K606" s="57"/>
      <c r="L606" s="57"/>
      <c r="M606" s="57"/>
      <c r="N606" s="57"/>
      <c r="O606" s="57"/>
      <c r="P606" s="57"/>
      <c r="Q606" s="57"/>
      <c r="R606" s="2124"/>
      <c r="S606" s="257"/>
    </row>
    <row r="607" spans="1:19">
      <c r="A607" s="257"/>
      <c r="B607" s="57"/>
      <c r="C607" s="57"/>
      <c r="D607" s="57"/>
      <c r="E607" s="57"/>
      <c r="F607" s="57"/>
      <c r="G607" s="57"/>
      <c r="H607" s="57"/>
      <c r="I607" s="57"/>
      <c r="J607" s="57"/>
      <c r="K607" s="57"/>
      <c r="L607" s="57"/>
      <c r="M607" s="57"/>
      <c r="N607" s="57"/>
      <c r="O607" s="57"/>
      <c r="P607" s="57"/>
      <c r="Q607" s="57"/>
      <c r="R607" s="2124"/>
      <c r="S607" s="257"/>
    </row>
    <row r="608" spans="1:19">
      <c r="A608" s="257"/>
      <c r="B608" s="57"/>
      <c r="C608" s="57"/>
      <c r="D608" s="57"/>
      <c r="E608" s="57"/>
      <c r="F608" s="57"/>
      <c r="G608" s="57"/>
      <c r="H608" s="57"/>
      <c r="I608" s="57"/>
      <c r="J608" s="57"/>
      <c r="K608" s="57"/>
      <c r="L608" s="57"/>
      <c r="M608" s="57"/>
      <c r="N608" s="57"/>
      <c r="O608" s="57"/>
      <c r="P608" s="57"/>
      <c r="Q608" s="57"/>
      <c r="R608" s="2124"/>
      <c r="S608" s="257"/>
    </row>
    <row r="609" spans="1:19">
      <c r="A609" s="257"/>
      <c r="B609" s="57"/>
      <c r="C609" s="57"/>
      <c r="D609" s="57"/>
      <c r="E609" s="57"/>
      <c r="F609" s="57"/>
      <c r="G609" s="57"/>
      <c r="H609" s="57"/>
      <c r="I609" s="57"/>
      <c r="J609" s="57"/>
      <c r="K609" s="57"/>
      <c r="L609" s="57"/>
      <c r="M609" s="57"/>
      <c r="N609" s="57"/>
      <c r="O609" s="57"/>
      <c r="P609" s="57"/>
      <c r="Q609" s="57"/>
      <c r="R609" s="2124"/>
      <c r="S609" s="257"/>
    </row>
    <row r="610" spans="1:19">
      <c r="A610" s="257"/>
      <c r="B610" s="57"/>
      <c r="C610" s="57"/>
      <c r="D610" s="57"/>
      <c r="E610" s="57"/>
      <c r="F610" s="57"/>
      <c r="G610" s="57"/>
      <c r="H610" s="57"/>
      <c r="I610" s="57"/>
      <c r="J610" s="57"/>
      <c r="K610" s="57"/>
      <c r="L610" s="57"/>
      <c r="M610" s="57"/>
      <c r="N610" s="57"/>
      <c r="O610" s="57"/>
      <c r="P610" s="57"/>
      <c r="Q610" s="57"/>
      <c r="R610" s="2124"/>
      <c r="S610" s="257"/>
    </row>
    <row r="611" spans="1:19">
      <c r="A611" s="257"/>
      <c r="B611" s="57"/>
      <c r="C611" s="57"/>
      <c r="D611" s="57"/>
      <c r="E611" s="57"/>
      <c r="F611" s="57"/>
      <c r="G611" s="57"/>
      <c r="H611" s="57"/>
      <c r="I611" s="57"/>
      <c r="J611" s="57"/>
      <c r="K611" s="57"/>
      <c r="L611" s="57"/>
      <c r="M611" s="57"/>
      <c r="N611" s="57"/>
      <c r="O611" s="57"/>
      <c r="P611" s="57"/>
      <c r="Q611" s="57"/>
      <c r="R611" s="2124"/>
      <c r="S611" s="257"/>
    </row>
    <row r="612" spans="1:19">
      <c r="A612" s="257"/>
      <c r="B612" s="57"/>
      <c r="C612" s="57"/>
      <c r="D612" s="57"/>
      <c r="E612" s="57"/>
      <c r="F612" s="57"/>
      <c r="G612" s="57"/>
      <c r="H612" s="57"/>
      <c r="I612" s="57"/>
      <c r="J612" s="57"/>
      <c r="K612" s="57"/>
      <c r="L612" s="57"/>
      <c r="M612" s="57"/>
      <c r="N612" s="57"/>
      <c r="O612" s="57"/>
      <c r="P612" s="57"/>
      <c r="Q612" s="57"/>
      <c r="R612" s="2124"/>
      <c r="S612" s="257"/>
    </row>
    <row r="613" spans="1:19">
      <c r="A613" s="257"/>
      <c r="B613" s="57"/>
      <c r="C613" s="57"/>
      <c r="D613" s="57"/>
      <c r="E613" s="57"/>
      <c r="F613" s="57"/>
      <c r="G613" s="57"/>
      <c r="H613" s="57"/>
      <c r="I613" s="57"/>
      <c r="J613" s="57"/>
      <c r="K613" s="57"/>
      <c r="L613" s="57"/>
      <c r="M613" s="57"/>
      <c r="N613" s="57"/>
      <c r="O613" s="57"/>
      <c r="P613" s="57"/>
      <c r="Q613" s="57"/>
      <c r="R613" s="2124"/>
      <c r="S613" s="257"/>
    </row>
    <row r="614" spans="1:19">
      <c r="A614" s="257"/>
      <c r="B614" s="57"/>
      <c r="C614" s="57"/>
      <c r="D614" s="57"/>
      <c r="E614" s="57"/>
      <c r="F614" s="57"/>
      <c r="G614" s="57"/>
      <c r="H614" s="57"/>
      <c r="I614" s="57"/>
      <c r="J614" s="57"/>
      <c r="K614" s="57"/>
      <c r="L614" s="57"/>
      <c r="M614" s="57"/>
      <c r="N614" s="57"/>
      <c r="O614" s="57"/>
      <c r="P614" s="57"/>
      <c r="Q614" s="57"/>
      <c r="R614" s="2124"/>
      <c r="S614" s="257"/>
    </row>
    <row r="615" spans="1:19">
      <c r="A615" s="257"/>
      <c r="B615" s="57"/>
      <c r="C615" s="57"/>
      <c r="D615" s="57"/>
      <c r="E615" s="57"/>
      <c r="F615" s="57"/>
      <c r="G615" s="57"/>
      <c r="H615" s="57"/>
      <c r="I615" s="57"/>
      <c r="J615" s="57"/>
      <c r="K615" s="57"/>
      <c r="L615" s="57"/>
      <c r="M615" s="57"/>
      <c r="N615" s="57"/>
      <c r="O615" s="57"/>
      <c r="P615" s="57"/>
      <c r="Q615" s="57"/>
      <c r="R615" s="2124"/>
      <c r="S615" s="257"/>
    </row>
    <row r="616" spans="1:19">
      <c r="A616" s="257"/>
      <c r="B616" s="57"/>
      <c r="C616" s="57"/>
      <c r="D616" s="57"/>
      <c r="E616" s="57"/>
      <c r="F616" s="57"/>
      <c r="G616" s="57"/>
      <c r="H616" s="57"/>
      <c r="I616" s="57"/>
      <c r="J616" s="57"/>
      <c r="K616" s="57"/>
      <c r="L616" s="57"/>
      <c r="M616" s="57"/>
      <c r="N616" s="57"/>
      <c r="O616" s="57"/>
      <c r="P616" s="57"/>
      <c r="Q616" s="57"/>
      <c r="R616" s="2124"/>
      <c r="S616" s="257"/>
    </row>
    <row r="617" spans="1:19">
      <c r="A617" s="257"/>
      <c r="B617" s="57"/>
      <c r="C617" s="57"/>
      <c r="D617" s="57"/>
      <c r="E617" s="57"/>
      <c r="F617" s="57"/>
      <c r="G617" s="57"/>
      <c r="H617" s="57"/>
      <c r="I617" s="57"/>
      <c r="J617" s="57"/>
      <c r="K617" s="57"/>
      <c r="L617" s="57"/>
      <c r="M617" s="57"/>
      <c r="N617" s="57"/>
      <c r="O617" s="57"/>
      <c r="P617" s="57"/>
      <c r="Q617" s="57"/>
      <c r="R617" s="2124"/>
      <c r="S617" s="257"/>
    </row>
    <row r="618" spans="1:19">
      <c r="A618" s="257"/>
      <c r="B618" s="57"/>
      <c r="C618" s="57"/>
      <c r="D618" s="57"/>
      <c r="E618" s="57"/>
      <c r="F618" s="57"/>
      <c r="G618" s="57"/>
      <c r="H618" s="57"/>
      <c r="I618" s="57"/>
      <c r="J618" s="57"/>
      <c r="K618" s="57"/>
      <c r="L618" s="57"/>
      <c r="M618" s="57"/>
      <c r="N618" s="57"/>
      <c r="O618" s="57"/>
      <c r="P618" s="57"/>
      <c r="Q618" s="57"/>
      <c r="R618" s="2124"/>
      <c r="S618" s="257"/>
    </row>
    <row r="619" spans="1:19">
      <c r="A619" s="257"/>
      <c r="B619" s="57"/>
      <c r="C619" s="57"/>
      <c r="D619" s="57"/>
      <c r="E619" s="57"/>
      <c r="F619" s="57"/>
      <c r="G619" s="57"/>
      <c r="H619" s="57"/>
      <c r="I619" s="57"/>
      <c r="J619" s="57"/>
      <c r="K619" s="57"/>
      <c r="L619" s="57"/>
      <c r="M619" s="57"/>
      <c r="N619" s="57"/>
      <c r="O619" s="57"/>
      <c r="P619" s="57"/>
      <c r="Q619" s="57"/>
      <c r="R619" s="2124"/>
      <c r="S619" s="257"/>
    </row>
    <row r="620" spans="1:19">
      <c r="A620" s="257"/>
      <c r="B620" s="57"/>
      <c r="C620" s="57"/>
      <c r="D620" s="57"/>
      <c r="E620" s="57"/>
      <c r="F620" s="57"/>
      <c r="G620" s="57"/>
      <c r="H620" s="57"/>
      <c r="I620" s="57"/>
      <c r="J620" s="57"/>
      <c r="K620" s="57"/>
      <c r="L620" s="57"/>
      <c r="M620" s="57"/>
      <c r="N620" s="57"/>
      <c r="O620" s="57"/>
      <c r="P620" s="57"/>
      <c r="Q620" s="57"/>
      <c r="R620" s="2124"/>
      <c r="S620" s="257"/>
    </row>
    <row r="621" spans="1:19">
      <c r="A621" s="257"/>
      <c r="B621" s="57"/>
      <c r="C621" s="57"/>
      <c r="D621" s="57"/>
      <c r="E621" s="57"/>
      <c r="F621" s="57"/>
      <c r="G621" s="57"/>
      <c r="H621" s="57"/>
      <c r="I621" s="57"/>
      <c r="J621" s="57"/>
      <c r="K621" s="57"/>
      <c r="L621" s="57"/>
      <c r="M621" s="57"/>
      <c r="N621" s="57"/>
      <c r="O621" s="57"/>
      <c r="P621" s="57"/>
      <c r="Q621" s="57"/>
      <c r="R621" s="2124"/>
      <c r="S621" s="257"/>
    </row>
    <row r="622" spans="1:19">
      <c r="A622" s="257"/>
      <c r="B622" s="57"/>
      <c r="C622" s="57"/>
      <c r="D622" s="57"/>
      <c r="E622" s="57"/>
      <c r="F622" s="57"/>
      <c r="G622" s="57"/>
      <c r="H622" s="57"/>
      <c r="I622" s="57"/>
      <c r="J622" s="57"/>
      <c r="K622" s="57"/>
      <c r="L622" s="57"/>
      <c r="M622" s="57"/>
      <c r="N622" s="57"/>
      <c r="O622" s="57"/>
      <c r="P622" s="57"/>
      <c r="Q622" s="57"/>
      <c r="R622" s="2124"/>
      <c r="S622" s="257"/>
    </row>
    <row r="623" spans="1:19">
      <c r="A623" s="257"/>
      <c r="B623" s="57"/>
      <c r="C623" s="57"/>
      <c r="D623" s="57"/>
      <c r="E623" s="57"/>
      <c r="F623" s="57"/>
      <c r="G623" s="57"/>
      <c r="H623" s="57"/>
      <c r="I623" s="57"/>
      <c r="J623" s="57"/>
      <c r="K623" s="57"/>
      <c r="L623" s="57"/>
      <c r="M623" s="57"/>
      <c r="N623" s="57"/>
      <c r="O623" s="57"/>
      <c r="P623" s="57"/>
      <c r="Q623" s="57"/>
      <c r="R623" s="2124"/>
      <c r="S623" s="257"/>
    </row>
    <row r="624" spans="1:19">
      <c r="A624" s="257"/>
      <c r="B624" s="57"/>
      <c r="C624" s="57"/>
      <c r="D624" s="57"/>
      <c r="E624" s="57"/>
      <c r="F624" s="57"/>
      <c r="G624" s="57"/>
      <c r="H624" s="57"/>
      <c r="I624" s="57"/>
      <c r="J624" s="57"/>
      <c r="K624" s="57"/>
      <c r="L624" s="57"/>
      <c r="M624" s="57"/>
      <c r="N624" s="57"/>
      <c r="O624" s="57"/>
      <c r="P624" s="57"/>
      <c r="Q624" s="57"/>
      <c r="R624" s="2124"/>
      <c r="S624" s="257"/>
    </row>
    <row r="625" spans="1:19">
      <c r="A625" s="257"/>
      <c r="B625" s="57"/>
      <c r="C625" s="57"/>
      <c r="D625" s="57"/>
      <c r="E625" s="57"/>
      <c r="F625" s="57"/>
      <c r="G625" s="57"/>
      <c r="H625" s="57"/>
      <c r="I625" s="57"/>
      <c r="J625" s="57"/>
      <c r="K625" s="57"/>
      <c r="L625" s="57"/>
      <c r="M625" s="57"/>
      <c r="N625" s="57"/>
      <c r="O625" s="57"/>
      <c r="P625" s="57"/>
      <c r="Q625" s="57"/>
      <c r="R625" s="2124"/>
      <c r="S625" s="257"/>
    </row>
    <row r="626" spans="1:19">
      <c r="A626" s="257"/>
      <c r="B626" s="57"/>
      <c r="C626" s="57"/>
      <c r="D626" s="57"/>
      <c r="E626" s="57"/>
      <c r="F626" s="57"/>
      <c r="G626" s="57"/>
      <c r="H626" s="57"/>
      <c r="I626" s="57"/>
      <c r="J626" s="57"/>
      <c r="K626" s="57"/>
      <c r="L626" s="57"/>
      <c r="M626" s="57"/>
      <c r="N626" s="57"/>
      <c r="O626" s="57"/>
      <c r="P626" s="57"/>
      <c r="Q626" s="57"/>
      <c r="R626" s="2124"/>
      <c r="S626" s="257"/>
    </row>
    <row r="627" spans="1:19">
      <c r="A627" s="257"/>
      <c r="B627" s="57"/>
      <c r="C627" s="57"/>
      <c r="D627" s="57"/>
      <c r="E627" s="57"/>
      <c r="F627" s="57"/>
      <c r="G627" s="57"/>
      <c r="H627" s="57"/>
      <c r="I627" s="57"/>
      <c r="J627" s="57"/>
      <c r="K627" s="57"/>
      <c r="L627" s="57"/>
      <c r="M627" s="57"/>
      <c r="N627" s="57"/>
      <c r="O627" s="57"/>
      <c r="P627" s="57"/>
      <c r="Q627" s="57"/>
      <c r="R627" s="2124"/>
      <c r="S627" s="257"/>
    </row>
    <row r="628" spans="1:19">
      <c r="A628" s="257"/>
      <c r="B628" s="57"/>
      <c r="C628" s="57"/>
      <c r="D628" s="57"/>
      <c r="E628" s="57"/>
      <c r="F628" s="57"/>
      <c r="G628" s="57"/>
      <c r="H628" s="57"/>
      <c r="I628" s="57"/>
      <c r="J628" s="57"/>
      <c r="K628" s="57"/>
      <c r="L628" s="57"/>
      <c r="M628" s="57"/>
      <c r="N628" s="57"/>
      <c r="O628" s="57"/>
      <c r="P628" s="57"/>
      <c r="Q628" s="57"/>
      <c r="R628" s="2124"/>
      <c r="S628" s="257"/>
    </row>
    <row r="629" spans="1:19">
      <c r="A629" s="257"/>
      <c r="B629" s="57"/>
      <c r="C629" s="57"/>
      <c r="D629" s="57"/>
      <c r="E629" s="57"/>
      <c r="F629" s="57"/>
      <c r="G629" s="57"/>
      <c r="H629" s="57"/>
      <c r="I629" s="57"/>
      <c r="J629" s="57"/>
      <c r="K629" s="57"/>
      <c r="L629" s="57"/>
      <c r="M629" s="57"/>
      <c r="N629" s="57"/>
      <c r="O629" s="57"/>
      <c r="P629" s="57"/>
      <c r="Q629" s="57"/>
      <c r="R629" s="2124"/>
      <c r="S629" s="257"/>
    </row>
    <row r="630" spans="1:19">
      <c r="A630" s="257"/>
      <c r="B630" s="57"/>
      <c r="C630" s="57"/>
      <c r="D630" s="57"/>
      <c r="E630" s="57"/>
      <c r="F630" s="57"/>
      <c r="G630" s="57"/>
      <c r="H630" s="57"/>
      <c r="I630" s="57"/>
      <c r="J630" s="57"/>
      <c r="K630" s="57"/>
      <c r="L630" s="57"/>
      <c r="M630" s="57"/>
      <c r="N630" s="57"/>
      <c r="O630" s="57"/>
      <c r="P630" s="57"/>
      <c r="Q630" s="57"/>
      <c r="R630" s="2124"/>
      <c r="S630" s="257"/>
    </row>
    <row r="631" spans="1:19">
      <c r="A631" s="257"/>
      <c r="B631" s="57"/>
      <c r="C631" s="57"/>
      <c r="D631" s="57"/>
      <c r="E631" s="57"/>
      <c r="F631" s="57"/>
      <c r="G631" s="57"/>
      <c r="H631" s="57"/>
      <c r="I631" s="57"/>
      <c r="J631" s="57"/>
      <c r="K631" s="57"/>
      <c r="L631" s="57"/>
      <c r="M631" s="57"/>
      <c r="N631" s="57"/>
      <c r="O631" s="57"/>
      <c r="P631" s="57"/>
      <c r="Q631" s="57"/>
      <c r="R631" s="2124"/>
      <c r="S631" s="257"/>
    </row>
    <row r="632" spans="1:19">
      <c r="A632" s="257"/>
      <c r="B632" s="57"/>
      <c r="C632" s="57"/>
      <c r="D632" s="57"/>
      <c r="E632" s="57"/>
      <c r="F632" s="57"/>
      <c r="G632" s="57"/>
      <c r="H632" s="57"/>
      <c r="I632" s="57"/>
      <c r="J632" s="57"/>
      <c r="K632" s="57"/>
      <c r="L632" s="57"/>
      <c r="M632" s="57"/>
      <c r="N632" s="57"/>
      <c r="O632" s="57"/>
      <c r="P632" s="57"/>
      <c r="Q632" s="57"/>
      <c r="R632" s="2124"/>
      <c r="S632" s="257"/>
    </row>
    <row r="633" spans="1:19">
      <c r="A633" s="257"/>
      <c r="B633" s="57"/>
      <c r="C633" s="57"/>
      <c r="D633" s="57"/>
      <c r="E633" s="57"/>
      <c r="F633" s="57"/>
      <c r="G633" s="57"/>
      <c r="H633" s="57"/>
      <c r="I633" s="57"/>
      <c r="J633" s="57"/>
      <c r="K633" s="57"/>
      <c r="L633" s="57"/>
      <c r="M633" s="57"/>
      <c r="N633" s="57"/>
      <c r="O633" s="57"/>
      <c r="P633" s="57"/>
      <c r="Q633" s="57"/>
      <c r="R633" s="2124"/>
      <c r="S633" s="257"/>
    </row>
    <row r="634" spans="1:19">
      <c r="A634" s="257"/>
      <c r="B634" s="57"/>
      <c r="C634" s="57"/>
      <c r="D634" s="57"/>
      <c r="E634" s="57"/>
      <c r="F634" s="57"/>
      <c r="G634" s="57"/>
      <c r="H634" s="57"/>
      <c r="I634" s="57"/>
      <c r="J634" s="57"/>
      <c r="K634" s="57"/>
      <c r="L634" s="57"/>
      <c r="M634" s="57"/>
      <c r="N634" s="57"/>
      <c r="O634" s="57"/>
      <c r="P634" s="57"/>
      <c r="Q634" s="57"/>
      <c r="R634" s="2124"/>
      <c r="S634" s="257"/>
    </row>
    <row r="635" spans="1:19">
      <c r="A635" s="257"/>
      <c r="B635" s="57"/>
      <c r="C635" s="57"/>
      <c r="D635" s="57"/>
      <c r="E635" s="57"/>
      <c r="F635" s="57"/>
      <c r="G635" s="57"/>
      <c r="H635" s="57"/>
      <c r="I635" s="57"/>
      <c r="J635" s="57"/>
      <c r="K635" s="57"/>
      <c r="L635" s="57"/>
      <c r="M635" s="57"/>
      <c r="N635" s="57"/>
      <c r="O635" s="57"/>
      <c r="P635" s="57"/>
      <c r="Q635" s="57"/>
      <c r="R635" s="2124"/>
      <c r="S635" s="257"/>
    </row>
    <row r="636" spans="1:19">
      <c r="A636" s="257"/>
      <c r="B636" s="57"/>
      <c r="C636" s="57"/>
      <c r="D636" s="57"/>
      <c r="E636" s="57"/>
      <c r="F636" s="57"/>
      <c r="G636" s="57"/>
      <c r="H636" s="57"/>
      <c r="I636" s="57"/>
      <c r="J636" s="57"/>
      <c r="K636" s="57"/>
      <c r="L636" s="57"/>
      <c r="M636" s="57"/>
      <c r="N636" s="57"/>
      <c r="O636" s="57"/>
      <c r="P636" s="57"/>
      <c r="Q636" s="57"/>
      <c r="R636" s="2124"/>
      <c r="S636" s="257"/>
    </row>
    <row r="637" spans="1:19">
      <c r="A637" s="257"/>
      <c r="B637" s="57"/>
      <c r="C637" s="57"/>
      <c r="D637" s="57"/>
      <c r="E637" s="57"/>
      <c r="F637" s="57"/>
      <c r="G637" s="57"/>
      <c r="H637" s="57"/>
      <c r="I637" s="57"/>
      <c r="J637" s="57"/>
      <c r="K637" s="57"/>
      <c r="L637" s="57"/>
      <c r="M637" s="57"/>
      <c r="N637" s="57"/>
      <c r="O637" s="57"/>
      <c r="P637" s="57"/>
      <c r="Q637" s="57"/>
      <c r="R637" s="2124"/>
      <c r="S637" s="257"/>
    </row>
    <row r="638" spans="1:19">
      <c r="A638" s="257"/>
      <c r="B638" s="57"/>
      <c r="C638" s="57"/>
      <c r="D638" s="57"/>
      <c r="E638" s="57"/>
      <c r="F638" s="57"/>
      <c r="G638" s="57"/>
      <c r="H638" s="57"/>
      <c r="I638" s="57"/>
      <c r="J638" s="57"/>
      <c r="K638" s="57"/>
      <c r="L638" s="57"/>
      <c r="M638" s="57"/>
      <c r="N638" s="57"/>
      <c r="O638" s="57"/>
      <c r="P638" s="57"/>
      <c r="Q638" s="57"/>
      <c r="R638" s="2124"/>
      <c r="S638" s="257"/>
    </row>
    <row r="639" spans="1:19">
      <c r="A639" s="257"/>
      <c r="B639" s="57"/>
      <c r="C639" s="57"/>
      <c r="D639" s="57"/>
      <c r="E639" s="57"/>
      <c r="F639" s="57"/>
      <c r="G639" s="57"/>
      <c r="H639" s="57"/>
      <c r="I639" s="57"/>
      <c r="J639" s="57"/>
      <c r="K639" s="57"/>
      <c r="L639" s="57"/>
      <c r="M639" s="57"/>
      <c r="N639" s="57"/>
      <c r="O639" s="57"/>
      <c r="P639" s="57"/>
      <c r="Q639" s="57"/>
      <c r="R639" s="2124"/>
      <c r="S639" s="257"/>
    </row>
    <row r="640" spans="1:19">
      <c r="A640" s="257"/>
      <c r="B640" s="57"/>
      <c r="C640" s="57"/>
      <c r="D640" s="57"/>
      <c r="E640" s="57"/>
      <c r="F640" s="57"/>
      <c r="G640" s="57"/>
      <c r="H640" s="57"/>
      <c r="I640" s="57"/>
      <c r="J640" s="57"/>
      <c r="K640" s="57"/>
      <c r="L640" s="57"/>
      <c r="M640" s="57"/>
      <c r="N640" s="57"/>
      <c r="O640" s="57"/>
      <c r="P640" s="57"/>
      <c r="Q640" s="57"/>
      <c r="R640" s="2124"/>
      <c r="S640" s="257"/>
    </row>
    <row r="641" spans="1:19">
      <c r="A641" s="257"/>
      <c r="B641" s="57"/>
      <c r="C641" s="57"/>
      <c r="D641" s="57"/>
      <c r="E641" s="57"/>
      <c r="F641" s="57"/>
      <c r="G641" s="57"/>
      <c r="H641" s="57"/>
      <c r="I641" s="57"/>
      <c r="J641" s="57"/>
      <c r="K641" s="57"/>
      <c r="L641" s="57"/>
      <c r="M641" s="57"/>
      <c r="N641" s="57"/>
      <c r="O641" s="57"/>
      <c r="P641" s="57"/>
      <c r="Q641" s="57"/>
      <c r="R641" s="2124"/>
      <c r="S641" s="257"/>
    </row>
    <row r="642" spans="1:19">
      <c r="A642" s="257"/>
      <c r="B642" s="57"/>
      <c r="C642" s="57"/>
      <c r="D642" s="57"/>
      <c r="E642" s="57"/>
      <c r="F642" s="57"/>
      <c r="G642" s="57"/>
      <c r="H642" s="57"/>
      <c r="I642" s="57"/>
      <c r="J642" s="57"/>
      <c r="K642" s="57"/>
      <c r="L642" s="57"/>
      <c r="M642" s="57"/>
      <c r="N642" s="57"/>
      <c r="O642" s="57"/>
      <c r="P642" s="57"/>
      <c r="Q642" s="57"/>
      <c r="R642" s="2124"/>
      <c r="S642" s="257"/>
    </row>
    <row r="643" spans="1:19">
      <c r="A643" s="257"/>
      <c r="B643" s="57"/>
      <c r="C643" s="57"/>
      <c r="D643" s="57"/>
      <c r="E643" s="57"/>
      <c r="F643" s="57"/>
      <c r="G643" s="57"/>
      <c r="H643" s="57"/>
      <c r="I643" s="57"/>
      <c r="J643" s="57"/>
      <c r="K643" s="57"/>
      <c r="L643" s="57"/>
      <c r="M643" s="57"/>
      <c r="N643" s="57"/>
      <c r="O643" s="57"/>
      <c r="P643" s="57"/>
      <c r="Q643" s="57"/>
      <c r="R643" s="2124"/>
      <c r="S643" s="257"/>
    </row>
    <row r="644" spans="1:19">
      <c r="A644" s="257"/>
      <c r="B644" s="57"/>
      <c r="C644" s="57"/>
      <c r="D644" s="57"/>
      <c r="E644" s="57"/>
      <c r="F644" s="57"/>
      <c r="G644" s="57"/>
      <c r="H644" s="57"/>
      <c r="I644" s="57"/>
      <c r="J644" s="57"/>
      <c r="K644" s="57"/>
      <c r="L644" s="57"/>
      <c r="M644" s="57"/>
      <c r="N644" s="57"/>
      <c r="O644" s="57"/>
      <c r="P644" s="57"/>
      <c r="Q644" s="57"/>
      <c r="R644" s="2124"/>
      <c r="S644" s="257"/>
    </row>
    <row r="645" spans="1:19">
      <c r="A645" s="257"/>
      <c r="B645" s="57"/>
      <c r="C645" s="57"/>
      <c r="D645" s="57"/>
      <c r="E645" s="57"/>
      <c r="F645" s="57"/>
      <c r="G645" s="57"/>
      <c r="H645" s="57"/>
      <c r="I645" s="57"/>
      <c r="J645" s="57"/>
      <c r="K645" s="57"/>
      <c r="L645" s="57"/>
      <c r="M645" s="57"/>
      <c r="N645" s="57"/>
      <c r="O645" s="57"/>
      <c r="P645" s="57"/>
      <c r="Q645" s="57"/>
      <c r="R645" s="2124"/>
      <c r="S645" s="257"/>
    </row>
    <row r="646" spans="1:19">
      <c r="A646" s="257"/>
      <c r="B646" s="57"/>
      <c r="C646" s="57"/>
      <c r="D646" s="57"/>
      <c r="E646" s="57"/>
      <c r="F646" s="57"/>
      <c r="G646" s="57"/>
      <c r="H646" s="57"/>
      <c r="I646" s="57"/>
      <c r="J646" s="57"/>
      <c r="K646" s="57"/>
      <c r="L646" s="57"/>
      <c r="M646" s="57"/>
      <c r="N646" s="57"/>
      <c r="O646" s="57"/>
      <c r="P646" s="57"/>
      <c r="Q646" s="57"/>
      <c r="R646" s="2124"/>
      <c r="S646" s="257"/>
    </row>
    <row r="647" spans="1:19">
      <c r="A647" s="257"/>
      <c r="B647" s="57"/>
      <c r="C647" s="57"/>
      <c r="D647" s="57"/>
      <c r="E647" s="57"/>
      <c r="F647" s="57"/>
      <c r="G647" s="57"/>
      <c r="H647" s="57"/>
      <c r="I647" s="57"/>
      <c r="J647" s="57"/>
      <c r="K647" s="57"/>
      <c r="L647" s="57"/>
      <c r="M647" s="57"/>
      <c r="N647" s="57"/>
      <c r="O647" s="57"/>
      <c r="P647" s="57"/>
      <c r="Q647" s="57"/>
      <c r="R647" s="2124"/>
      <c r="S647" s="257"/>
    </row>
    <row r="648" spans="1:19">
      <c r="A648" s="257"/>
      <c r="B648" s="57"/>
      <c r="C648" s="57"/>
      <c r="D648" s="57"/>
      <c r="E648" s="57"/>
      <c r="F648" s="57"/>
      <c r="G648" s="57"/>
      <c r="H648" s="57"/>
      <c r="I648" s="57"/>
      <c r="J648" s="57"/>
      <c r="K648" s="57"/>
      <c r="L648" s="57"/>
      <c r="M648" s="57"/>
      <c r="N648" s="57"/>
      <c r="O648" s="57"/>
      <c r="P648" s="57"/>
      <c r="Q648" s="57"/>
      <c r="R648" s="2124"/>
      <c r="S648" s="257"/>
    </row>
    <row r="649" spans="1:19">
      <c r="A649" s="257"/>
      <c r="B649" s="57"/>
      <c r="C649" s="57"/>
      <c r="D649" s="57"/>
      <c r="E649" s="57"/>
      <c r="F649" s="57"/>
      <c r="G649" s="57"/>
      <c r="H649" s="57"/>
      <c r="I649" s="57"/>
      <c r="J649" s="57"/>
      <c r="K649" s="57"/>
      <c r="L649" s="57"/>
      <c r="M649" s="57"/>
      <c r="N649" s="57"/>
      <c r="O649" s="57"/>
      <c r="P649" s="57"/>
      <c r="Q649" s="57"/>
      <c r="R649" s="2124"/>
      <c r="S649" s="257"/>
    </row>
    <row r="650" spans="1:19">
      <c r="A650" s="257"/>
      <c r="B650" s="57"/>
      <c r="C650" s="57"/>
      <c r="D650" s="57"/>
      <c r="E650" s="57"/>
      <c r="F650" s="57"/>
      <c r="G650" s="57"/>
      <c r="H650" s="57"/>
      <c r="I650" s="57"/>
      <c r="J650" s="57"/>
      <c r="K650" s="57"/>
      <c r="L650" s="57"/>
      <c r="M650" s="57"/>
      <c r="N650" s="57"/>
      <c r="O650" s="57"/>
      <c r="P650" s="57"/>
      <c r="Q650" s="57"/>
      <c r="R650" s="2124"/>
      <c r="S650" s="257"/>
    </row>
    <row r="651" spans="1:19">
      <c r="A651" s="257"/>
      <c r="B651" s="57"/>
      <c r="C651" s="57"/>
      <c r="D651" s="57"/>
      <c r="E651" s="57"/>
      <c r="F651" s="57"/>
      <c r="G651" s="57"/>
      <c r="H651" s="57"/>
      <c r="I651" s="57"/>
      <c r="J651" s="57"/>
      <c r="K651" s="57"/>
      <c r="L651" s="57"/>
      <c r="M651" s="57"/>
      <c r="N651" s="57"/>
      <c r="O651" s="57"/>
      <c r="P651" s="57"/>
      <c r="Q651" s="57"/>
      <c r="R651" s="2124"/>
      <c r="S651" s="257"/>
    </row>
    <row r="652" spans="1:19">
      <c r="A652" s="257"/>
      <c r="B652" s="57"/>
      <c r="C652" s="57"/>
      <c r="D652" s="57"/>
      <c r="E652" s="57"/>
      <c r="F652" s="57"/>
      <c r="G652" s="57"/>
      <c r="H652" s="57"/>
      <c r="I652" s="57"/>
      <c r="J652" s="57"/>
      <c r="K652" s="57"/>
      <c r="L652" s="57"/>
      <c r="M652" s="57"/>
      <c r="N652" s="57"/>
      <c r="O652" s="57"/>
      <c r="P652" s="57"/>
      <c r="Q652" s="57"/>
      <c r="R652" s="2124"/>
      <c r="S652" s="257"/>
    </row>
    <row r="653" spans="1:19">
      <c r="A653" s="257"/>
      <c r="B653" s="57"/>
      <c r="C653" s="57"/>
      <c r="D653" s="57"/>
      <c r="E653" s="57"/>
      <c r="F653" s="57"/>
      <c r="G653" s="57"/>
      <c r="H653" s="57"/>
      <c r="I653" s="57"/>
      <c r="J653" s="57"/>
      <c r="K653" s="57"/>
      <c r="L653" s="57"/>
      <c r="M653" s="57"/>
      <c r="N653" s="57"/>
      <c r="O653" s="57"/>
      <c r="P653" s="57"/>
      <c r="Q653" s="57"/>
      <c r="R653" s="2124"/>
      <c r="S653" s="257"/>
    </row>
    <row r="654" spans="1:19">
      <c r="A654" s="257"/>
      <c r="B654" s="57"/>
      <c r="C654" s="57"/>
      <c r="D654" s="57"/>
      <c r="E654" s="57"/>
      <c r="F654" s="57"/>
      <c r="G654" s="57"/>
      <c r="H654" s="57"/>
      <c r="I654" s="57"/>
      <c r="J654" s="57"/>
      <c r="K654" s="57"/>
      <c r="L654" s="57"/>
      <c r="M654" s="57"/>
      <c r="N654" s="57"/>
      <c r="O654" s="57"/>
      <c r="P654" s="57"/>
      <c r="Q654" s="57"/>
      <c r="R654" s="2124"/>
      <c r="S654" s="257"/>
    </row>
    <row r="655" spans="1:19">
      <c r="A655" s="257"/>
      <c r="B655" s="57"/>
      <c r="C655" s="57"/>
      <c r="D655" s="57"/>
      <c r="E655" s="57"/>
      <c r="F655" s="57"/>
      <c r="G655" s="57"/>
      <c r="H655" s="57"/>
      <c r="I655" s="57"/>
      <c r="J655" s="57"/>
      <c r="K655" s="57"/>
      <c r="L655" s="57"/>
      <c r="M655" s="57"/>
      <c r="N655" s="57"/>
      <c r="O655" s="57"/>
      <c r="P655" s="57"/>
      <c r="Q655" s="57"/>
      <c r="R655" s="2124"/>
      <c r="S655" s="257"/>
    </row>
    <row r="656" spans="1:19">
      <c r="A656" s="257"/>
      <c r="B656" s="57"/>
      <c r="C656" s="57"/>
      <c r="D656" s="57"/>
      <c r="E656" s="57"/>
      <c r="F656" s="57"/>
      <c r="G656" s="57"/>
      <c r="H656" s="57"/>
      <c r="I656" s="57"/>
      <c r="J656" s="57"/>
      <c r="K656" s="57"/>
      <c r="L656" s="57"/>
      <c r="M656" s="57"/>
      <c r="N656" s="57"/>
      <c r="O656" s="57"/>
      <c r="P656" s="57"/>
      <c r="Q656" s="57"/>
      <c r="R656" s="2124"/>
      <c r="S656" s="257"/>
    </row>
    <row r="657" spans="1:19">
      <c r="A657" s="257"/>
      <c r="B657" s="57"/>
      <c r="C657" s="57"/>
      <c r="D657" s="57"/>
      <c r="E657" s="57"/>
      <c r="F657" s="57"/>
      <c r="G657" s="57"/>
      <c r="H657" s="57"/>
      <c r="I657" s="57"/>
      <c r="J657" s="57"/>
      <c r="K657" s="57"/>
      <c r="L657" s="57"/>
      <c r="M657" s="57"/>
      <c r="N657" s="57"/>
      <c r="O657" s="57"/>
      <c r="P657" s="57"/>
      <c r="Q657" s="57"/>
      <c r="R657" s="2124"/>
      <c r="S657" s="257"/>
    </row>
    <row r="658" spans="1:19">
      <c r="A658" s="257"/>
      <c r="B658" s="57"/>
      <c r="C658" s="57"/>
      <c r="D658" s="57"/>
      <c r="E658" s="57"/>
      <c r="F658" s="57"/>
      <c r="G658" s="57"/>
      <c r="H658" s="57"/>
      <c r="I658" s="57"/>
      <c r="J658" s="57"/>
      <c r="K658" s="57"/>
      <c r="L658" s="57"/>
      <c r="M658" s="57"/>
      <c r="N658" s="57"/>
      <c r="O658" s="57"/>
      <c r="P658" s="57"/>
      <c r="Q658" s="57"/>
      <c r="R658" s="2124"/>
      <c r="S658" s="257"/>
    </row>
    <row r="659" spans="1:19">
      <c r="A659" s="257"/>
      <c r="B659" s="57"/>
      <c r="C659" s="57"/>
      <c r="D659" s="57"/>
      <c r="E659" s="57"/>
      <c r="F659" s="57"/>
      <c r="G659" s="57"/>
      <c r="H659" s="57"/>
      <c r="I659" s="57"/>
      <c r="J659" s="57"/>
      <c r="K659" s="57"/>
      <c r="L659" s="57"/>
      <c r="M659" s="57"/>
      <c r="N659" s="57"/>
      <c r="O659" s="57"/>
      <c r="P659" s="57"/>
      <c r="Q659" s="57"/>
      <c r="R659" s="2124"/>
      <c r="S659" s="257"/>
    </row>
    <row r="660" spans="1:19">
      <c r="A660" s="257"/>
      <c r="B660" s="57"/>
      <c r="C660" s="57"/>
      <c r="D660" s="57"/>
      <c r="E660" s="57"/>
      <c r="F660" s="57"/>
      <c r="G660" s="57"/>
      <c r="H660" s="57"/>
      <c r="I660" s="57"/>
      <c r="J660" s="57"/>
      <c r="K660" s="57"/>
      <c r="L660" s="57"/>
      <c r="M660" s="57"/>
      <c r="N660" s="57"/>
      <c r="O660" s="57"/>
      <c r="P660" s="57"/>
      <c r="Q660" s="57"/>
      <c r="R660" s="2124"/>
      <c r="S660" s="257"/>
    </row>
    <row r="661" spans="1:19">
      <c r="A661" s="257"/>
      <c r="B661" s="57"/>
      <c r="C661" s="57"/>
      <c r="D661" s="57"/>
      <c r="E661" s="57"/>
      <c r="F661" s="57"/>
      <c r="G661" s="57"/>
      <c r="H661" s="57"/>
      <c r="I661" s="57"/>
      <c r="J661" s="57"/>
      <c r="K661" s="57"/>
      <c r="L661" s="57"/>
      <c r="M661" s="57"/>
      <c r="N661" s="57"/>
      <c r="O661" s="57"/>
      <c r="P661" s="57"/>
      <c r="Q661" s="57"/>
      <c r="R661" s="2124"/>
      <c r="S661" s="257"/>
    </row>
    <row r="662" spans="1:19">
      <c r="A662" s="257"/>
      <c r="B662" s="57"/>
      <c r="C662" s="57"/>
      <c r="D662" s="57"/>
      <c r="E662" s="57"/>
      <c r="F662" s="57"/>
      <c r="G662" s="57"/>
      <c r="H662" s="57"/>
      <c r="I662" s="57"/>
      <c r="J662" s="57"/>
      <c r="K662" s="57"/>
      <c r="L662" s="57"/>
      <c r="M662" s="57"/>
      <c r="N662" s="57"/>
      <c r="O662" s="57"/>
      <c r="P662" s="57"/>
      <c r="Q662" s="57"/>
      <c r="R662" s="2124"/>
      <c r="S662" s="257"/>
    </row>
    <row r="663" spans="1:19">
      <c r="A663" s="257"/>
      <c r="B663" s="57"/>
      <c r="C663" s="57"/>
      <c r="D663" s="57"/>
      <c r="E663" s="57"/>
      <c r="F663" s="57"/>
      <c r="G663" s="57"/>
      <c r="H663" s="57"/>
      <c r="I663" s="57"/>
      <c r="J663" s="57"/>
      <c r="K663" s="57"/>
      <c r="L663" s="57"/>
      <c r="M663" s="57"/>
      <c r="N663" s="57"/>
      <c r="O663" s="57"/>
      <c r="P663" s="57"/>
      <c r="Q663" s="57"/>
      <c r="R663" s="2124"/>
      <c r="S663" s="257"/>
    </row>
    <row r="664" spans="1:19">
      <c r="A664" s="257"/>
      <c r="B664" s="57"/>
      <c r="C664" s="57"/>
      <c r="D664" s="57"/>
      <c r="E664" s="57"/>
      <c r="F664" s="57"/>
      <c r="G664" s="57"/>
      <c r="H664" s="57"/>
      <c r="I664" s="57"/>
      <c r="J664" s="57"/>
      <c r="K664" s="57"/>
      <c r="L664" s="57"/>
      <c r="M664" s="57"/>
      <c r="N664" s="57"/>
      <c r="O664" s="57"/>
      <c r="P664" s="57"/>
      <c r="Q664" s="57"/>
      <c r="R664" s="2124"/>
      <c r="S664" s="257"/>
    </row>
    <row r="665" spans="1:19">
      <c r="A665" s="257"/>
      <c r="B665" s="57"/>
      <c r="C665" s="57"/>
      <c r="D665" s="57"/>
      <c r="E665" s="57"/>
      <c r="F665" s="57"/>
      <c r="G665" s="57"/>
      <c r="H665" s="57"/>
      <c r="I665" s="57"/>
      <c r="J665" s="57"/>
      <c r="K665" s="57"/>
      <c r="L665" s="57"/>
      <c r="M665" s="57"/>
      <c r="N665" s="57"/>
      <c r="O665" s="57"/>
      <c r="P665" s="57"/>
      <c r="Q665" s="57"/>
      <c r="R665" s="2124"/>
      <c r="S665" s="257"/>
    </row>
    <row r="666" spans="1:19">
      <c r="A666" s="257"/>
      <c r="B666" s="57"/>
      <c r="C666" s="57"/>
      <c r="D666" s="57"/>
      <c r="E666" s="57"/>
      <c r="F666" s="57"/>
      <c r="G666" s="57"/>
      <c r="H666" s="57"/>
      <c r="I666" s="57"/>
      <c r="J666" s="57"/>
      <c r="K666" s="57"/>
      <c r="L666" s="57"/>
      <c r="M666" s="57"/>
      <c r="N666" s="57"/>
      <c r="O666" s="57"/>
      <c r="P666" s="57"/>
      <c r="Q666" s="57"/>
      <c r="R666" s="2124"/>
      <c r="S666" s="257"/>
    </row>
    <row r="667" spans="1:19">
      <c r="A667" s="257"/>
      <c r="B667" s="57"/>
      <c r="C667" s="57"/>
      <c r="D667" s="57"/>
      <c r="E667" s="57"/>
      <c r="F667" s="57"/>
      <c r="G667" s="57"/>
      <c r="H667" s="57"/>
      <c r="I667" s="57"/>
      <c r="J667" s="57"/>
      <c r="K667" s="57"/>
      <c r="L667" s="57"/>
      <c r="M667" s="57"/>
      <c r="N667" s="57"/>
      <c r="O667" s="57"/>
      <c r="P667" s="57"/>
      <c r="Q667" s="57"/>
      <c r="R667" s="2124"/>
      <c r="S667" s="257"/>
    </row>
    <row r="668" spans="1:19">
      <c r="A668" s="257"/>
      <c r="B668" s="57"/>
      <c r="C668" s="57"/>
      <c r="D668" s="57"/>
      <c r="E668" s="57"/>
      <c r="F668" s="57"/>
      <c r="G668" s="57"/>
      <c r="H668" s="57"/>
      <c r="I668" s="57"/>
      <c r="J668" s="57"/>
      <c r="K668" s="57"/>
      <c r="L668" s="57"/>
      <c r="M668" s="57"/>
      <c r="N668" s="57"/>
      <c r="O668" s="57"/>
      <c r="P668" s="57"/>
      <c r="Q668" s="57"/>
      <c r="R668" s="2124"/>
      <c r="S668" s="257"/>
    </row>
    <row r="669" spans="1:19">
      <c r="A669" s="257"/>
      <c r="B669" s="57"/>
      <c r="C669" s="57"/>
      <c r="D669" s="57"/>
      <c r="E669" s="57"/>
      <c r="F669" s="57"/>
      <c r="G669" s="57"/>
      <c r="H669" s="57"/>
      <c r="I669" s="57"/>
      <c r="J669" s="57"/>
      <c r="K669" s="57"/>
      <c r="L669" s="57"/>
      <c r="M669" s="57"/>
      <c r="N669" s="57"/>
      <c r="O669" s="57"/>
      <c r="P669" s="57"/>
      <c r="Q669" s="57"/>
      <c r="R669" s="2124"/>
      <c r="S669" s="257"/>
    </row>
    <row r="670" spans="1:19">
      <c r="A670" s="257"/>
      <c r="B670" s="57"/>
      <c r="C670" s="57"/>
      <c r="D670" s="57"/>
      <c r="E670" s="57"/>
      <c r="F670" s="57"/>
      <c r="G670" s="57"/>
      <c r="H670" s="57"/>
      <c r="I670" s="57"/>
      <c r="J670" s="57"/>
      <c r="K670" s="57"/>
      <c r="L670" s="57"/>
      <c r="M670" s="57"/>
      <c r="N670" s="57"/>
      <c r="O670" s="57"/>
      <c r="P670" s="57"/>
      <c r="Q670" s="57"/>
      <c r="R670" s="2124"/>
      <c r="S670" s="257"/>
    </row>
    <row r="671" spans="1:19">
      <c r="A671" s="257"/>
      <c r="B671" s="57"/>
      <c r="C671" s="57"/>
      <c r="D671" s="57"/>
      <c r="E671" s="57"/>
      <c r="F671" s="57"/>
      <c r="G671" s="57"/>
      <c r="H671" s="57"/>
      <c r="I671" s="57"/>
      <c r="J671" s="57"/>
      <c r="K671" s="57"/>
      <c r="L671" s="57"/>
      <c r="M671" s="57"/>
      <c r="N671" s="57"/>
      <c r="O671" s="57"/>
      <c r="P671" s="57"/>
      <c r="Q671" s="57"/>
      <c r="R671" s="2124"/>
      <c r="S671" s="257"/>
    </row>
    <row r="672" spans="1:19">
      <c r="A672" s="257"/>
      <c r="B672" s="57"/>
      <c r="C672" s="57"/>
      <c r="D672" s="57"/>
      <c r="E672" s="57"/>
      <c r="F672" s="57"/>
      <c r="G672" s="57"/>
      <c r="H672" s="57"/>
      <c r="I672" s="57"/>
      <c r="J672" s="57"/>
      <c r="K672" s="57"/>
      <c r="L672" s="57"/>
      <c r="M672" s="57"/>
      <c r="N672" s="57"/>
      <c r="O672" s="57"/>
      <c r="P672" s="57"/>
      <c r="Q672" s="57"/>
      <c r="R672" s="2124"/>
      <c r="S672" s="257"/>
    </row>
    <row r="673" spans="1:19">
      <c r="A673" s="257"/>
      <c r="B673" s="57"/>
      <c r="C673" s="57"/>
      <c r="D673" s="57"/>
      <c r="E673" s="57"/>
      <c r="F673" s="57"/>
      <c r="G673" s="57"/>
      <c r="H673" s="57"/>
      <c r="I673" s="57"/>
      <c r="J673" s="57"/>
      <c r="K673" s="57"/>
      <c r="L673" s="57"/>
      <c r="M673" s="57"/>
      <c r="N673" s="57"/>
      <c r="O673" s="57"/>
      <c r="P673" s="57"/>
      <c r="Q673" s="57"/>
      <c r="R673" s="2124"/>
      <c r="S673" s="257"/>
    </row>
    <row r="674" spans="1:19">
      <c r="A674" s="257"/>
      <c r="B674" s="57"/>
      <c r="C674" s="57"/>
      <c r="D674" s="57"/>
      <c r="E674" s="57"/>
      <c r="F674" s="57"/>
      <c r="G674" s="57"/>
      <c r="H674" s="57"/>
      <c r="I674" s="57"/>
      <c r="J674" s="57"/>
      <c r="K674" s="57"/>
      <c r="L674" s="57"/>
      <c r="M674" s="57"/>
      <c r="N674" s="57"/>
      <c r="O674" s="57"/>
      <c r="P674" s="57"/>
      <c r="Q674" s="57"/>
      <c r="R674" s="2124"/>
      <c r="S674" s="257"/>
    </row>
    <row r="675" spans="1:19">
      <c r="A675" s="257"/>
      <c r="B675" s="57"/>
      <c r="C675" s="57"/>
      <c r="D675" s="57"/>
      <c r="E675" s="57"/>
      <c r="F675" s="57"/>
      <c r="G675" s="57"/>
      <c r="H675" s="57"/>
      <c r="I675" s="57"/>
      <c r="J675" s="57"/>
      <c r="K675" s="57"/>
      <c r="L675" s="57"/>
      <c r="M675" s="57"/>
      <c r="N675" s="57"/>
      <c r="O675" s="57"/>
      <c r="P675" s="57"/>
      <c r="Q675" s="57"/>
      <c r="R675" s="2124"/>
      <c r="S675" s="257"/>
    </row>
    <row r="676" spans="1:19">
      <c r="A676" s="257"/>
      <c r="B676" s="57"/>
      <c r="C676" s="57"/>
      <c r="D676" s="57"/>
      <c r="E676" s="57"/>
      <c r="F676" s="57"/>
      <c r="G676" s="57"/>
      <c r="H676" s="57"/>
      <c r="I676" s="57"/>
      <c r="J676" s="57"/>
      <c r="K676" s="57"/>
      <c r="L676" s="57"/>
      <c r="M676" s="57"/>
      <c r="N676" s="57"/>
      <c r="O676" s="57"/>
      <c r="P676" s="57"/>
      <c r="Q676" s="57"/>
      <c r="R676" s="2124"/>
      <c r="S676" s="257"/>
    </row>
    <row r="677" spans="1:19">
      <c r="A677" s="257"/>
      <c r="B677" s="57"/>
      <c r="C677" s="57"/>
      <c r="D677" s="57"/>
      <c r="E677" s="57"/>
      <c r="F677" s="57"/>
      <c r="G677" s="57"/>
      <c r="H677" s="57"/>
      <c r="I677" s="57"/>
      <c r="J677" s="57"/>
      <c r="K677" s="57"/>
      <c r="L677" s="57"/>
      <c r="M677" s="57"/>
      <c r="N677" s="57"/>
      <c r="O677" s="57"/>
      <c r="P677" s="57"/>
      <c r="Q677" s="57"/>
      <c r="R677" s="2124"/>
      <c r="S677" s="257"/>
    </row>
    <row r="678" spans="1:19">
      <c r="A678" s="257"/>
      <c r="B678" s="57"/>
      <c r="C678" s="57"/>
      <c r="D678" s="57"/>
      <c r="E678" s="57"/>
      <c r="F678" s="57"/>
      <c r="G678" s="57"/>
      <c r="H678" s="57"/>
      <c r="I678" s="57"/>
      <c r="J678" s="57"/>
      <c r="K678" s="57"/>
      <c r="L678" s="57"/>
      <c r="M678" s="57"/>
      <c r="N678" s="57"/>
      <c r="O678" s="57"/>
      <c r="P678" s="57"/>
      <c r="Q678" s="57"/>
      <c r="R678" s="2124"/>
      <c r="S678" s="257"/>
    </row>
    <row r="679" spans="1:19">
      <c r="A679" s="257"/>
      <c r="B679" s="57"/>
      <c r="C679" s="57"/>
      <c r="D679" s="57"/>
      <c r="E679" s="57"/>
      <c r="F679" s="57"/>
      <c r="G679" s="57"/>
      <c r="H679" s="57"/>
      <c r="I679" s="57"/>
      <c r="J679" s="57"/>
      <c r="K679" s="57"/>
      <c r="L679" s="57"/>
      <c r="M679" s="57"/>
      <c r="N679" s="57"/>
      <c r="O679" s="57"/>
      <c r="P679" s="57"/>
      <c r="Q679" s="57"/>
      <c r="R679" s="2124"/>
      <c r="S679" s="257"/>
    </row>
    <row r="680" spans="1:19">
      <c r="A680" s="257"/>
      <c r="B680" s="57"/>
      <c r="C680" s="57"/>
      <c r="D680" s="57"/>
      <c r="E680" s="57"/>
      <c r="F680" s="57"/>
      <c r="G680" s="57"/>
      <c r="H680" s="57"/>
      <c r="I680" s="57"/>
      <c r="J680" s="57"/>
      <c r="K680" s="57"/>
      <c r="L680" s="57"/>
      <c r="M680" s="57"/>
      <c r="N680" s="57"/>
      <c r="O680" s="57"/>
      <c r="P680" s="57"/>
      <c r="Q680" s="57"/>
      <c r="R680" s="2124"/>
      <c r="S680" s="257"/>
    </row>
    <row r="681" spans="1:19">
      <c r="A681" s="257"/>
      <c r="B681" s="57"/>
      <c r="C681" s="57"/>
      <c r="D681" s="57"/>
      <c r="E681" s="57"/>
      <c r="F681" s="57"/>
      <c r="G681" s="57"/>
      <c r="H681" s="57"/>
      <c r="I681" s="57"/>
      <c r="J681" s="57"/>
      <c r="K681" s="57"/>
      <c r="L681" s="57"/>
      <c r="M681" s="57"/>
      <c r="N681" s="57"/>
      <c r="O681" s="57"/>
      <c r="P681" s="57"/>
      <c r="Q681" s="57"/>
      <c r="R681" s="2124"/>
      <c r="S681" s="257"/>
    </row>
    <row r="682" spans="1:19">
      <c r="A682" s="257"/>
      <c r="B682" s="57"/>
      <c r="C682" s="57"/>
      <c r="D682" s="57"/>
      <c r="E682" s="57"/>
      <c r="F682" s="57"/>
      <c r="G682" s="57"/>
      <c r="H682" s="57"/>
      <c r="I682" s="57"/>
      <c r="J682" s="57"/>
      <c r="K682" s="57"/>
      <c r="L682" s="57"/>
      <c r="M682" s="57"/>
      <c r="N682" s="57"/>
      <c r="O682" s="57"/>
      <c r="P682" s="57"/>
      <c r="Q682" s="57"/>
      <c r="R682" s="21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6" customWidth="1"/>
    <col min="2" max="2" width="13.25" style="2862" customWidth="1"/>
    <col min="3" max="3" width="15.625" style="2862" customWidth="1"/>
    <col min="4" max="4" width="9.375" style="2862" bestFit="1" customWidth="1"/>
    <col min="5" max="5" width="13.5" style="2862" customWidth="1"/>
    <col min="6" max="6" width="9" style="2862"/>
    <col min="7" max="7" width="9.375" style="2862" bestFit="1" customWidth="1"/>
    <col min="8" max="9" width="9" style="2862"/>
    <col min="10" max="10" width="9.375" style="2862" bestFit="1" customWidth="1"/>
    <col min="11" max="11" width="4" style="2856" customWidth="1"/>
    <col min="12" max="12" width="5.125" style="2862" customWidth="1"/>
    <col min="13" max="13" width="13.75" style="2862" customWidth="1"/>
    <col min="14" max="256" width="9" style="2862"/>
    <col min="257" max="257" width="4.875" style="2854" customWidth="1"/>
    <col min="258" max="258" width="13.25" style="2854" customWidth="1"/>
    <col min="259" max="259" width="15.625" style="2854" customWidth="1"/>
    <col min="260" max="260" width="9.375" style="2854" bestFit="1" customWidth="1"/>
    <col min="261" max="261" width="13.5" style="2854" customWidth="1"/>
    <col min="262" max="262" width="9" style="2854"/>
    <col min="263" max="263" width="9.375" style="2854" bestFit="1" customWidth="1"/>
    <col min="264" max="265" width="9" style="2854"/>
    <col min="266" max="266" width="9.375" style="2854" bestFit="1" customWidth="1"/>
    <col min="267" max="267" width="4" style="2854" customWidth="1"/>
    <col min="268" max="268" width="5.125" style="2854" customWidth="1"/>
    <col min="269" max="269" width="13.75" style="2854" customWidth="1"/>
    <col min="270" max="512" width="9" style="2854"/>
    <col min="513" max="513" width="4.875" style="2854" customWidth="1"/>
    <col min="514" max="514" width="13.25" style="2854" customWidth="1"/>
    <col min="515" max="515" width="15.625" style="2854" customWidth="1"/>
    <col min="516" max="516" width="9.375" style="2854" bestFit="1" customWidth="1"/>
    <col min="517" max="517" width="13.5" style="2854" customWidth="1"/>
    <col min="518" max="518" width="9" style="2854"/>
    <col min="519" max="519" width="9.375" style="2854" bestFit="1" customWidth="1"/>
    <col min="520" max="521" width="9" style="2854"/>
    <col min="522" max="522" width="9.375" style="2854" bestFit="1" customWidth="1"/>
    <col min="523" max="523" width="4" style="2854" customWidth="1"/>
    <col min="524" max="524" width="5.125" style="2854" customWidth="1"/>
    <col min="525" max="525" width="13.75" style="2854" customWidth="1"/>
    <col min="526" max="768" width="9" style="2854"/>
    <col min="769" max="769" width="4.875" style="2854" customWidth="1"/>
    <col min="770" max="770" width="13.25" style="2854" customWidth="1"/>
    <col min="771" max="771" width="15.625" style="2854" customWidth="1"/>
    <col min="772" max="772" width="9.375" style="2854" bestFit="1" customWidth="1"/>
    <col min="773" max="773" width="13.5" style="2854" customWidth="1"/>
    <col min="774" max="774" width="9" style="2854"/>
    <col min="775" max="775" width="9.375" style="2854" bestFit="1" customWidth="1"/>
    <col min="776" max="777" width="9" style="2854"/>
    <col min="778" max="778" width="9.375" style="2854" bestFit="1" customWidth="1"/>
    <col min="779" max="779" width="4" style="2854" customWidth="1"/>
    <col min="780" max="780" width="5.125" style="2854" customWidth="1"/>
    <col min="781" max="781" width="13.75" style="2854" customWidth="1"/>
    <col min="782" max="1024" width="9" style="2854"/>
    <col min="1025" max="1025" width="4.875" style="2854" customWidth="1"/>
    <col min="1026" max="1026" width="13.25" style="2854" customWidth="1"/>
    <col min="1027" max="1027" width="15.625" style="2854" customWidth="1"/>
    <col min="1028" max="1028" width="9.375" style="2854" bestFit="1" customWidth="1"/>
    <col min="1029" max="1029" width="13.5" style="2854" customWidth="1"/>
    <col min="1030" max="1030" width="9" style="2854"/>
    <col min="1031" max="1031" width="9.375" style="2854" bestFit="1" customWidth="1"/>
    <col min="1032" max="1033" width="9" style="2854"/>
    <col min="1034" max="1034" width="9.375" style="2854" bestFit="1" customWidth="1"/>
    <col min="1035" max="1035" width="4" style="2854" customWidth="1"/>
    <col min="1036" max="1036" width="5.125" style="2854" customWidth="1"/>
    <col min="1037" max="1037" width="13.75" style="2854" customWidth="1"/>
    <col min="1038" max="1280" width="9" style="2854"/>
    <col min="1281" max="1281" width="4.875" style="2854" customWidth="1"/>
    <col min="1282" max="1282" width="13.25" style="2854" customWidth="1"/>
    <col min="1283" max="1283" width="15.625" style="2854" customWidth="1"/>
    <col min="1284" max="1284" width="9.375" style="2854" bestFit="1" customWidth="1"/>
    <col min="1285" max="1285" width="13.5" style="2854" customWidth="1"/>
    <col min="1286" max="1286" width="9" style="2854"/>
    <col min="1287" max="1287" width="9.375" style="2854" bestFit="1" customWidth="1"/>
    <col min="1288" max="1289" width="9" style="2854"/>
    <col min="1290" max="1290" width="9.375" style="2854" bestFit="1" customWidth="1"/>
    <col min="1291" max="1291" width="4" style="2854" customWidth="1"/>
    <col min="1292" max="1292" width="5.125" style="2854" customWidth="1"/>
    <col min="1293" max="1293" width="13.75" style="2854" customWidth="1"/>
    <col min="1294" max="1536" width="9" style="2854"/>
    <col min="1537" max="1537" width="4.875" style="2854" customWidth="1"/>
    <col min="1538" max="1538" width="13.25" style="2854" customWidth="1"/>
    <col min="1539" max="1539" width="15.625" style="2854" customWidth="1"/>
    <col min="1540" max="1540" width="9.375" style="2854" bestFit="1" customWidth="1"/>
    <col min="1541" max="1541" width="13.5" style="2854" customWidth="1"/>
    <col min="1542" max="1542" width="9" style="2854"/>
    <col min="1543" max="1543" width="9.375" style="2854" bestFit="1" customWidth="1"/>
    <col min="1544" max="1545" width="9" style="2854"/>
    <col min="1546" max="1546" width="9.375" style="2854" bestFit="1" customWidth="1"/>
    <col min="1547" max="1547" width="4" style="2854" customWidth="1"/>
    <col min="1548" max="1548" width="5.125" style="2854" customWidth="1"/>
    <col min="1549" max="1549" width="13.75" style="2854" customWidth="1"/>
    <col min="1550" max="1792" width="9" style="2854"/>
    <col min="1793" max="1793" width="4.875" style="2854" customWidth="1"/>
    <col min="1794" max="1794" width="13.25" style="2854" customWidth="1"/>
    <col min="1795" max="1795" width="15.625" style="2854" customWidth="1"/>
    <col min="1796" max="1796" width="9.375" style="2854" bestFit="1" customWidth="1"/>
    <col min="1797" max="1797" width="13.5" style="2854" customWidth="1"/>
    <col min="1798" max="1798" width="9" style="2854"/>
    <col min="1799" max="1799" width="9.375" style="2854" bestFit="1" customWidth="1"/>
    <col min="1800" max="1801" width="9" style="2854"/>
    <col min="1802" max="1802" width="9.375" style="2854" bestFit="1" customWidth="1"/>
    <col min="1803" max="1803" width="4" style="2854" customWidth="1"/>
    <col min="1804" max="1804" width="5.125" style="2854" customWidth="1"/>
    <col min="1805" max="1805" width="13.75" style="2854" customWidth="1"/>
    <col min="1806" max="2048" width="9" style="2854"/>
    <col min="2049" max="2049" width="4.875" style="2854" customWidth="1"/>
    <col min="2050" max="2050" width="13.25" style="2854" customWidth="1"/>
    <col min="2051" max="2051" width="15.625" style="2854" customWidth="1"/>
    <col min="2052" max="2052" width="9.375" style="2854" bestFit="1" customWidth="1"/>
    <col min="2053" max="2053" width="13.5" style="2854" customWidth="1"/>
    <col min="2054" max="2054" width="9" style="2854"/>
    <col min="2055" max="2055" width="9.375" style="2854" bestFit="1" customWidth="1"/>
    <col min="2056" max="2057" width="9" style="2854"/>
    <col min="2058" max="2058" width="9.375" style="2854" bestFit="1" customWidth="1"/>
    <col min="2059" max="2059" width="4" style="2854" customWidth="1"/>
    <col min="2060" max="2060" width="5.125" style="2854" customWidth="1"/>
    <col min="2061" max="2061" width="13.75" style="2854" customWidth="1"/>
    <col min="2062" max="2304" width="9" style="2854"/>
    <col min="2305" max="2305" width="4.875" style="2854" customWidth="1"/>
    <col min="2306" max="2306" width="13.25" style="2854" customWidth="1"/>
    <col min="2307" max="2307" width="15.625" style="2854" customWidth="1"/>
    <col min="2308" max="2308" width="9.375" style="2854" bestFit="1" customWidth="1"/>
    <col min="2309" max="2309" width="13.5" style="2854" customWidth="1"/>
    <col min="2310" max="2310" width="9" style="2854"/>
    <col min="2311" max="2311" width="9.375" style="2854" bestFit="1" customWidth="1"/>
    <col min="2312" max="2313" width="9" style="2854"/>
    <col min="2314" max="2314" width="9.375" style="2854" bestFit="1" customWidth="1"/>
    <col min="2315" max="2315" width="4" style="2854" customWidth="1"/>
    <col min="2316" max="2316" width="5.125" style="2854" customWidth="1"/>
    <col min="2317" max="2317" width="13.75" style="2854" customWidth="1"/>
    <col min="2318" max="2560" width="9" style="2854"/>
    <col min="2561" max="2561" width="4.875" style="2854" customWidth="1"/>
    <col min="2562" max="2562" width="13.25" style="2854" customWidth="1"/>
    <col min="2563" max="2563" width="15.625" style="2854" customWidth="1"/>
    <col min="2564" max="2564" width="9.375" style="2854" bestFit="1" customWidth="1"/>
    <col min="2565" max="2565" width="13.5" style="2854" customWidth="1"/>
    <col min="2566" max="2566" width="9" style="2854"/>
    <col min="2567" max="2567" width="9.375" style="2854" bestFit="1" customWidth="1"/>
    <col min="2568" max="2569" width="9" style="2854"/>
    <col min="2570" max="2570" width="9.375" style="2854" bestFit="1" customWidth="1"/>
    <col min="2571" max="2571" width="4" style="2854" customWidth="1"/>
    <col min="2572" max="2572" width="5.125" style="2854" customWidth="1"/>
    <col min="2573" max="2573" width="13.75" style="2854" customWidth="1"/>
    <col min="2574" max="2816" width="9" style="2854"/>
    <col min="2817" max="2817" width="4.875" style="2854" customWidth="1"/>
    <col min="2818" max="2818" width="13.25" style="2854" customWidth="1"/>
    <col min="2819" max="2819" width="15.625" style="2854" customWidth="1"/>
    <col min="2820" max="2820" width="9.375" style="2854" bestFit="1" customWidth="1"/>
    <col min="2821" max="2821" width="13.5" style="2854" customWidth="1"/>
    <col min="2822" max="2822" width="9" style="2854"/>
    <col min="2823" max="2823" width="9.375" style="2854" bestFit="1" customWidth="1"/>
    <col min="2824" max="2825" width="9" style="2854"/>
    <col min="2826" max="2826" width="9.375" style="2854" bestFit="1" customWidth="1"/>
    <col min="2827" max="2827" width="4" style="2854" customWidth="1"/>
    <col min="2828" max="2828" width="5.125" style="2854" customWidth="1"/>
    <col min="2829" max="2829" width="13.75" style="2854" customWidth="1"/>
    <col min="2830" max="3072" width="9" style="2854"/>
    <col min="3073" max="3073" width="4.875" style="2854" customWidth="1"/>
    <col min="3074" max="3074" width="13.25" style="2854" customWidth="1"/>
    <col min="3075" max="3075" width="15.625" style="2854" customWidth="1"/>
    <col min="3076" max="3076" width="9.375" style="2854" bestFit="1" customWidth="1"/>
    <col min="3077" max="3077" width="13.5" style="2854" customWidth="1"/>
    <col min="3078" max="3078" width="9" style="2854"/>
    <col min="3079" max="3079" width="9.375" style="2854" bestFit="1" customWidth="1"/>
    <col min="3080" max="3081" width="9" style="2854"/>
    <col min="3082" max="3082" width="9.375" style="2854" bestFit="1" customWidth="1"/>
    <col min="3083" max="3083" width="4" style="2854" customWidth="1"/>
    <col min="3084" max="3084" width="5.125" style="2854" customWidth="1"/>
    <col min="3085" max="3085" width="13.75" style="2854" customWidth="1"/>
    <col min="3086" max="3328" width="9" style="2854"/>
    <col min="3329" max="3329" width="4.875" style="2854" customWidth="1"/>
    <col min="3330" max="3330" width="13.25" style="2854" customWidth="1"/>
    <col min="3331" max="3331" width="15.625" style="2854" customWidth="1"/>
    <col min="3332" max="3332" width="9.375" style="2854" bestFit="1" customWidth="1"/>
    <col min="3333" max="3333" width="13.5" style="2854" customWidth="1"/>
    <col min="3334" max="3334" width="9" style="2854"/>
    <col min="3335" max="3335" width="9.375" style="2854" bestFit="1" customWidth="1"/>
    <col min="3336" max="3337" width="9" style="2854"/>
    <col min="3338" max="3338" width="9.375" style="2854" bestFit="1" customWidth="1"/>
    <col min="3339" max="3339" width="4" style="2854" customWidth="1"/>
    <col min="3340" max="3340" width="5.125" style="2854" customWidth="1"/>
    <col min="3341" max="3341" width="13.75" style="2854" customWidth="1"/>
    <col min="3342" max="3584" width="9" style="2854"/>
    <col min="3585" max="3585" width="4.875" style="2854" customWidth="1"/>
    <col min="3586" max="3586" width="13.25" style="2854" customWidth="1"/>
    <col min="3587" max="3587" width="15.625" style="2854" customWidth="1"/>
    <col min="3588" max="3588" width="9.375" style="2854" bestFit="1" customWidth="1"/>
    <col min="3589" max="3589" width="13.5" style="2854" customWidth="1"/>
    <col min="3590" max="3590" width="9" style="2854"/>
    <col min="3591" max="3591" width="9.375" style="2854" bestFit="1" customWidth="1"/>
    <col min="3592" max="3593" width="9" style="2854"/>
    <col min="3594" max="3594" width="9.375" style="2854" bestFit="1" customWidth="1"/>
    <col min="3595" max="3595" width="4" style="2854" customWidth="1"/>
    <col min="3596" max="3596" width="5.125" style="2854" customWidth="1"/>
    <col min="3597" max="3597" width="13.75" style="2854" customWidth="1"/>
    <col min="3598" max="3840" width="9" style="2854"/>
    <col min="3841" max="3841" width="4.875" style="2854" customWidth="1"/>
    <col min="3842" max="3842" width="13.25" style="2854" customWidth="1"/>
    <col min="3843" max="3843" width="15.625" style="2854" customWidth="1"/>
    <col min="3844" max="3844" width="9.375" style="2854" bestFit="1" customWidth="1"/>
    <col min="3845" max="3845" width="13.5" style="2854" customWidth="1"/>
    <col min="3846" max="3846" width="9" style="2854"/>
    <col min="3847" max="3847" width="9.375" style="2854" bestFit="1" customWidth="1"/>
    <col min="3848" max="3849" width="9" style="2854"/>
    <col min="3850" max="3850" width="9.375" style="2854" bestFit="1" customWidth="1"/>
    <col min="3851" max="3851" width="4" style="2854" customWidth="1"/>
    <col min="3852" max="3852" width="5.125" style="2854" customWidth="1"/>
    <col min="3853" max="3853" width="13.75" style="2854" customWidth="1"/>
    <col min="3854" max="4096" width="9" style="2854"/>
    <col min="4097" max="4097" width="4.875" style="2854" customWidth="1"/>
    <col min="4098" max="4098" width="13.25" style="2854" customWidth="1"/>
    <col min="4099" max="4099" width="15.625" style="2854" customWidth="1"/>
    <col min="4100" max="4100" width="9.375" style="2854" bestFit="1" customWidth="1"/>
    <col min="4101" max="4101" width="13.5" style="2854" customWidth="1"/>
    <col min="4102" max="4102" width="9" style="2854"/>
    <col min="4103" max="4103" width="9.375" style="2854" bestFit="1" customWidth="1"/>
    <col min="4104" max="4105" width="9" style="2854"/>
    <col min="4106" max="4106" width="9.375" style="2854" bestFit="1" customWidth="1"/>
    <col min="4107" max="4107" width="4" style="2854" customWidth="1"/>
    <col min="4108" max="4108" width="5.125" style="2854" customWidth="1"/>
    <col min="4109" max="4109" width="13.75" style="2854" customWidth="1"/>
    <col min="4110" max="4352" width="9" style="2854"/>
    <col min="4353" max="4353" width="4.875" style="2854" customWidth="1"/>
    <col min="4354" max="4354" width="13.25" style="2854" customWidth="1"/>
    <col min="4355" max="4355" width="15.625" style="2854" customWidth="1"/>
    <col min="4356" max="4356" width="9.375" style="2854" bestFit="1" customWidth="1"/>
    <col min="4357" max="4357" width="13.5" style="2854" customWidth="1"/>
    <col min="4358" max="4358" width="9" style="2854"/>
    <col min="4359" max="4359" width="9.375" style="2854" bestFit="1" customWidth="1"/>
    <col min="4360" max="4361" width="9" style="2854"/>
    <col min="4362" max="4362" width="9.375" style="2854" bestFit="1" customWidth="1"/>
    <col min="4363" max="4363" width="4" style="2854" customWidth="1"/>
    <col min="4364" max="4364" width="5.125" style="2854" customWidth="1"/>
    <col min="4365" max="4365" width="13.75" style="2854" customWidth="1"/>
    <col min="4366" max="4608" width="9" style="2854"/>
    <col min="4609" max="4609" width="4.875" style="2854" customWidth="1"/>
    <col min="4610" max="4610" width="13.25" style="2854" customWidth="1"/>
    <col min="4611" max="4611" width="15.625" style="2854" customWidth="1"/>
    <col min="4612" max="4612" width="9.375" style="2854" bestFit="1" customWidth="1"/>
    <col min="4613" max="4613" width="13.5" style="2854" customWidth="1"/>
    <col min="4614" max="4614" width="9" style="2854"/>
    <col min="4615" max="4615" width="9.375" style="2854" bestFit="1" customWidth="1"/>
    <col min="4616" max="4617" width="9" style="2854"/>
    <col min="4618" max="4618" width="9.375" style="2854" bestFit="1" customWidth="1"/>
    <col min="4619" max="4619" width="4" style="2854" customWidth="1"/>
    <col min="4620" max="4620" width="5.125" style="2854" customWidth="1"/>
    <col min="4621" max="4621" width="13.75" style="2854" customWidth="1"/>
    <col min="4622" max="4864" width="9" style="2854"/>
    <col min="4865" max="4865" width="4.875" style="2854" customWidth="1"/>
    <col min="4866" max="4866" width="13.25" style="2854" customWidth="1"/>
    <col min="4867" max="4867" width="15.625" style="2854" customWidth="1"/>
    <col min="4868" max="4868" width="9.375" style="2854" bestFit="1" customWidth="1"/>
    <col min="4869" max="4869" width="13.5" style="2854" customWidth="1"/>
    <col min="4870" max="4870" width="9" style="2854"/>
    <col min="4871" max="4871" width="9.375" style="2854" bestFit="1" customWidth="1"/>
    <col min="4872" max="4873" width="9" style="2854"/>
    <col min="4874" max="4874" width="9.375" style="2854" bestFit="1" customWidth="1"/>
    <col min="4875" max="4875" width="4" style="2854" customWidth="1"/>
    <col min="4876" max="4876" width="5.125" style="2854" customWidth="1"/>
    <col min="4877" max="4877" width="13.75" style="2854" customWidth="1"/>
    <col min="4878" max="5120" width="9" style="2854"/>
    <col min="5121" max="5121" width="4.875" style="2854" customWidth="1"/>
    <col min="5122" max="5122" width="13.25" style="2854" customWidth="1"/>
    <col min="5123" max="5123" width="15.625" style="2854" customWidth="1"/>
    <col min="5124" max="5124" width="9.375" style="2854" bestFit="1" customWidth="1"/>
    <col min="5125" max="5125" width="13.5" style="2854" customWidth="1"/>
    <col min="5126" max="5126" width="9" style="2854"/>
    <col min="5127" max="5127" width="9.375" style="2854" bestFit="1" customWidth="1"/>
    <col min="5128" max="5129" width="9" style="2854"/>
    <col min="5130" max="5130" width="9.375" style="2854" bestFit="1" customWidth="1"/>
    <col min="5131" max="5131" width="4" style="2854" customWidth="1"/>
    <col min="5132" max="5132" width="5.125" style="2854" customWidth="1"/>
    <col min="5133" max="5133" width="13.75" style="2854" customWidth="1"/>
    <col min="5134" max="5376" width="9" style="2854"/>
    <col min="5377" max="5377" width="4.875" style="2854" customWidth="1"/>
    <col min="5378" max="5378" width="13.25" style="2854" customWidth="1"/>
    <col min="5379" max="5379" width="15.625" style="2854" customWidth="1"/>
    <col min="5380" max="5380" width="9.375" style="2854" bestFit="1" customWidth="1"/>
    <col min="5381" max="5381" width="13.5" style="2854" customWidth="1"/>
    <col min="5382" max="5382" width="9" style="2854"/>
    <col min="5383" max="5383" width="9.375" style="2854" bestFit="1" customWidth="1"/>
    <col min="5384" max="5385" width="9" style="2854"/>
    <col min="5386" max="5386" width="9.375" style="2854" bestFit="1" customWidth="1"/>
    <col min="5387" max="5387" width="4" style="2854" customWidth="1"/>
    <col min="5388" max="5388" width="5.125" style="2854" customWidth="1"/>
    <col min="5389" max="5389" width="13.75" style="2854" customWidth="1"/>
    <col min="5390" max="5632" width="9" style="2854"/>
    <col min="5633" max="5633" width="4.875" style="2854" customWidth="1"/>
    <col min="5634" max="5634" width="13.25" style="2854" customWidth="1"/>
    <col min="5635" max="5635" width="15.625" style="2854" customWidth="1"/>
    <col min="5636" max="5636" width="9.375" style="2854" bestFit="1" customWidth="1"/>
    <col min="5637" max="5637" width="13.5" style="2854" customWidth="1"/>
    <col min="5638" max="5638" width="9" style="2854"/>
    <col min="5639" max="5639" width="9.375" style="2854" bestFit="1" customWidth="1"/>
    <col min="5640" max="5641" width="9" style="2854"/>
    <col min="5642" max="5642" width="9.375" style="2854" bestFit="1" customWidth="1"/>
    <col min="5643" max="5643" width="4" style="2854" customWidth="1"/>
    <col min="5644" max="5644" width="5.125" style="2854" customWidth="1"/>
    <col min="5645" max="5645" width="13.75" style="2854" customWidth="1"/>
    <col min="5646" max="5888" width="9" style="2854"/>
    <col min="5889" max="5889" width="4.875" style="2854" customWidth="1"/>
    <col min="5890" max="5890" width="13.25" style="2854" customWidth="1"/>
    <col min="5891" max="5891" width="15.625" style="2854" customWidth="1"/>
    <col min="5892" max="5892" width="9.375" style="2854" bestFit="1" customWidth="1"/>
    <col min="5893" max="5893" width="13.5" style="2854" customWidth="1"/>
    <col min="5894" max="5894" width="9" style="2854"/>
    <col min="5895" max="5895" width="9.375" style="2854" bestFit="1" customWidth="1"/>
    <col min="5896" max="5897" width="9" style="2854"/>
    <col min="5898" max="5898" width="9.375" style="2854" bestFit="1" customWidth="1"/>
    <col min="5899" max="5899" width="4" style="2854" customWidth="1"/>
    <col min="5900" max="5900" width="5.125" style="2854" customWidth="1"/>
    <col min="5901" max="5901" width="13.75" style="2854" customWidth="1"/>
    <col min="5902" max="6144" width="9" style="2854"/>
    <col min="6145" max="6145" width="4.875" style="2854" customWidth="1"/>
    <col min="6146" max="6146" width="13.25" style="2854" customWidth="1"/>
    <col min="6147" max="6147" width="15.625" style="2854" customWidth="1"/>
    <col min="6148" max="6148" width="9.375" style="2854" bestFit="1" customWidth="1"/>
    <col min="6149" max="6149" width="13.5" style="2854" customWidth="1"/>
    <col min="6150" max="6150" width="9" style="2854"/>
    <col min="6151" max="6151" width="9.375" style="2854" bestFit="1" customWidth="1"/>
    <col min="6152" max="6153" width="9" style="2854"/>
    <col min="6154" max="6154" width="9.375" style="2854" bestFit="1" customWidth="1"/>
    <col min="6155" max="6155" width="4" style="2854" customWidth="1"/>
    <col min="6156" max="6156" width="5.125" style="2854" customWidth="1"/>
    <col min="6157" max="6157" width="13.75" style="2854" customWidth="1"/>
    <col min="6158" max="6400" width="9" style="2854"/>
    <col min="6401" max="6401" width="4.875" style="2854" customWidth="1"/>
    <col min="6402" max="6402" width="13.25" style="2854" customWidth="1"/>
    <col min="6403" max="6403" width="15.625" style="2854" customWidth="1"/>
    <col min="6404" max="6404" width="9.375" style="2854" bestFit="1" customWidth="1"/>
    <col min="6405" max="6405" width="13.5" style="2854" customWidth="1"/>
    <col min="6406" max="6406" width="9" style="2854"/>
    <col min="6407" max="6407" width="9.375" style="2854" bestFit="1" customWidth="1"/>
    <col min="6408" max="6409" width="9" style="2854"/>
    <col min="6410" max="6410" width="9.375" style="2854" bestFit="1" customWidth="1"/>
    <col min="6411" max="6411" width="4" style="2854" customWidth="1"/>
    <col min="6412" max="6412" width="5.125" style="2854" customWidth="1"/>
    <col min="6413" max="6413" width="13.75" style="2854" customWidth="1"/>
    <col min="6414" max="6656" width="9" style="2854"/>
    <col min="6657" max="6657" width="4.875" style="2854" customWidth="1"/>
    <col min="6658" max="6658" width="13.25" style="2854" customWidth="1"/>
    <col min="6659" max="6659" width="15.625" style="2854" customWidth="1"/>
    <col min="6660" max="6660" width="9.375" style="2854" bestFit="1" customWidth="1"/>
    <col min="6661" max="6661" width="13.5" style="2854" customWidth="1"/>
    <col min="6662" max="6662" width="9" style="2854"/>
    <col min="6663" max="6663" width="9.375" style="2854" bestFit="1" customWidth="1"/>
    <col min="6664" max="6665" width="9" style="2854"/>
    <col min="6666" max="6666" width="9.375" style="2854" bestFit="1" customWidth="1"/>
    <col min="6667" max="6667" width="4" style="2854" customWidth="1"/>
    <col min="6668" max="6668" width="5.125" style="2854" customWidth="1"/>
    <col min="6669" max="6669" width="13.75" style="2854" customWidth="1"/>
    <col min="6670" max="6912" width="9" style="2854"/>
    <col min="6913" max="6913" width="4.875" style="2854" customWidth="1"/>
    <col min="6914" max="6914" width="13.25" style="2854" customWidth="1"/>
    <col min="6915" max="6915" width="15.625" style="2854" customWidth="1"/>
    <col min="6916" max="6916" width="9.375" style="2854" bestFit="1" customWidth="1"/>
    <col min="6917" max="6917" width="13.5" style="2854" customWidth="1"/>
    <col min="6918" max="6918" width="9" style="2854"/>
    <col min="6919" max="6919" width="9.375" style="2854" bestFit="1" customWidth="1"/>
    <col min="6920" max="6921" width="9" style="2854"/>
    <col min="6922" max="6922" width="9.375" style="2854" bestFit="1" customWidth="1"/>
    <col min="6923" max="6923" width="4" style="2854" customWidth="1"/>
    <col min="6924" max="6924" width="5.125" style="2854" customWidth="1"/>
    <col min="6925" max="6925" width="13.75" style="2854" customWidth="1"/>
    <col min="6926" max="7168" width="9" style="2854"/>
    <col min="7169" max="7169" width="4.875" style="2854" customWidth="1"/>
    <col min="7170" max="7170" width="13.25" style="2854" customWidth="1"/>
    <col min="7171" max="7171" width="15.625" style="2854" customWidth="1"/>
    <col min="7172" max="7172" width="9.375" style="2854" bestFit="1" customWidth="1"/>
    <col min="7173" max="7173" width="13.5" style="2854" customWidth="1"/>
    <col min="7174" max="7174" width="9" style="2854"/>
    <col min="7175" max="7175" width="9.375" style="2854" bestFit="1" customWidth="1"/>
    <col min="7176" max="7177" width="9" style="2854"/>
    <col min="7178" max="7178" width="9.375" style="2854" bestFit="1" customWidth="1"/>
    <col min="7179" max="7179" width="4" style="2854" customWidth="1"/>
    <col min="7180" max="7180" width="5.125" style="2854" customWidth="1"/>
    <col min="7181" max="7181" width="13.75" style="2854" customWidth="1"/>
    <col min="7182" max="7424" width="9" style="2854"/>
    <col min="7425" max="7425" width="4.875" style="2854" customWidth="1"/>
    <col min="7426" max="7426" width="13.25" style="2854" customWidth="1"/>
    <col min="7427" max="7427" width="15.625" style="2854" customWidth="1"/>
    <col min="7428" max="7428" width="9.375" style="2854" bestFit="1" customWidth="1"/>
    <col min="7429" max="7429" width="13.5" style="2854" customWidth="1"/>
    <col min="7430" max="7430" width="9" style="2854"/>
    <col min="7431" max="7431" width="9.375" style="2854" bestFit="1" customWidth="1"/>
    <col min="7432" max="7433" width="9" style="2854"/>
    <col min="7434" max="7434" width="9.375" style="2854" bestFit="1" customWidth="1"/>
    <col min="7435" max="7435" width="4" style="2854" customWidth="1"/>
    <col min="7436" max="7436" width="5.125" style="2854" customWidth="1"/>
    <col min="7437" max="7437" width="13.75" style="2854" customWidth="1"/>
    <col min="7438" max="7680" width="9" style="2854"/>
    <col min="7681" max="7681" width="4.875" style="2854" customWidth="1"/>
    <col min="7682" max="7682" width="13.25" style="2854" customWidth="1"/>
    <col min="7683" max="7683" width="15.625" style="2854" customWidth="1"/>
    <col min="7684" max="7684" width="9.375" style="2854" bestFit="1" customWidth="1"/>
    <col min="7685" max="7685" width="13.5" style="2854" customWidth="1"/>
    <col min="7686" max="7686" width="9" style="2854"/>
    <col min="7687" max="7687" width="9.375" style="2854" bestFit="1" customWidth="1"/>
    <col min="7688" max="7689" width="9" style="2854"/>
    <col min="7690" max="7690" width="9.375" style="2854" bestFit="1" customWidth="1"/>
    <col min="7691" max="7691" width="4" style="2854" customWidth="1"/>
    <col min="7692" max="7692" width="5.125" style="2854" customWidth="1"/>
    <col min="7693" max="7693" width="13.75" style="2854" customWidth="1"/>
    <col min="7694" max="7936" width="9" style="2854"/>
    <col min="7937" max="7937" width="4.875" style="2854" customWidth="1"/>
    <col min="7938" max="7938" width="13.25" style="2854" customWidth="1"/>
    <col min="7939" max="7939" width="15.625" style="2854" customWidth="1"/>
    <col min="7940" max="7940" width="9.375" style="2854" bestFit="1" customWidth="1"/>
    <col min="7941" max="7941" width="13.5" style="2854" customWidth="1"/>
    <col min="7942" max="7942" width="9" style="2854"/>
    <col min="7943" max="7943" width="9.375" style="2854" bestFit="1" customWidth="1"/>
    <col min="7944" max="7945" width="9" style="2854"/>
    <col min="7946" max="7946" width="9.375" style="2854" bestFit="1" customWidth="1"/>
    <col min="7947" max="7947" width="4" style="2854" customWidth="1"/>
    <col min="7948" max="7948" width="5.125" style="2854" customWidth="1"/>
    <col min="7949" max="7949" width="13.75" style="2854" customWidth="1"/>
    <col min="7950" max="8192" width="9" style="2854"/>
    <col min="8193" max="8193" width="4.875" style="2854" customWidth="1"/>
    <col min="8194" max="8194" width="13.25" style="2854" customWidth="1"/>
    <col min="8195" max="8195" width="15.625" style="2854" customWidth="1"/>
    <col min="8196" max="8196" width="9.375" style="2854" bestFit="1" customWidth="1"/>
    <col min="8197" max="8197" width="13.5" style="2854" customWidth="1"/>
    <col min="8198" max="8198" width="9" style="2854"/>
    <col min="8199" max="8199" width="9.375" style="2854" bestFit="1" customWidth="1"/>
    <col min="8200" max="8201" width="9" style="2854"/>
    <col min="8202" max="8202" width="9.375" style="2854" bestFit="1" customWidth="1"/>
    <col min="8203" max="8203" width="4" style="2854" customWidth="1"/>
    <col min="8204" max="8204" width="5.125" style="2854" customWidth="1"/>
    <col min="8205" max="8205" width="13.75" style="2854" customWidth="1"/>
    <col min="8206" max="8448" width="9" style="2854"/>
    <col min="8449" max="8449" width="4.875" style="2854" customWidth="1"/>
    <col min="8450" max="8450" width="13.25" style="2854" customWidth="1"/>
    <col min="8451" max="8451" width="15.625" style="2854" customWidth="1"/>
    <col min="8452" max="8452" width="9.375" style="2854" bestFit="1" customWidth="1"/>
    <col min="8453" max="8453" width="13.5" style="2854" customWidth="1"/>
    <col min="8454" max="8454" width="9" style="2854"/>
    <col min="8455" max="8455" width="9.375" style="2854" bestFit="1" customWidth="1"/>
    <col min="8456" max="8457" width="9" style="2854"/>
    <col min="8458" max="8458" width="9.375" style="2854" bestFit="1" customWidth="1"/>
    <col min="8459" max="8459" width="4" style="2854" customWidth="1"/>
    <col min="8460" max="8460" width="5.125" style="2854" customWidth="1"/>
    <col min="8461" max="8461" width="13.75" style="2854" customWidth="1"/>
    <col min="8462" max="8704" width="9" style="2854"/>
    <col min="8705" max="8705" width="4.875" style="2854" customWidth="1"/>
    <col min="8706" max="8706" width="13.25" style="2854" customWidth="1"/>
    <col min="8707" max="8707" width="15.625" style="2854" customWidth="1"/>
    <col min="8708" max="8708" width="9.375" style="2854" bestFit="1" customWidth="1"/>
    <col min="8709" max="8709" width="13.5" style="2854" customWidth="1"/>
    <col min="8710" max="8710" width="9" style="2854"/>
    <col min="8711" max="8711" width="9.375" style="2854" bestFit="1" customWidth="1"/>
    <col min="8712" max="8713" width="9" style="2854"/>
    <col min="8714" max="8714" width="9.375" style="2854" bestFit="1" customWidth="1"/>
    <col min="8715" max="8715" width="4" style="2854" customWidth="1"/>
    <col min="8716" max="8716" width="5.125" style="2854" customWidth="1"/>
    <col min="8717" max="8717" width="13.75" style="2854" customWidth="1"/>
    <col min="8718" max="8960" width="9" style="2854"/>
    <col min="8961" max="8961" width="4.875" style="2854" customWidth="1"/>
    <col min="8962" max="8962" width="13.25" style="2854" customWidth="1"/>
    <col min="8963" max="8963" width="15.625" style="2854" customWidth="1"/>
    <col min="8964" max="8964" width="9.375" style="2854" bestFit="1" customWidth="1"/>
    <col min="8965" max="8965" width="13.5" style="2854" customWidth="1"/>
    <col min="8966" max="8966" width="9" style="2854"/>
    <col min="8967" max="8967" width="9.375" style="2854" bestFit="1" customWidth="1"/>
    <col min="8968" max="8969" width="9" style="2854"/>
    <col min="8970" max="8970" width="9.375" style="2854" bestFit="1" customWidth="1"/>
    <col min="8971" max="8971" width="4" style="2854" customWidth="1"/>
    <col min="8972" max="8972" width="5.125" style="2854" customWidth="1"/>
    <col min="8973" max="8973" width="13.75" style="2854" customWidth="1"/>
    <col min="8974" max="9216" width="9" style="2854"/>
    <col min="9217" max="9217" width="4.875" style="2854" customWidth="1"/>
    <col min="9218" max="9218" width="13.25" style="2854" customWidth="1"/>
    <col min="9219" max="9219" width="15.625" style="2854" customWidth="1"/>
    <col min="9220" max="9220" width="9.375" style="2854" bestFit="1" customWidth="1"/>
    <col min="9221" max="9221" width="13.5" style="2854" customWidth="1"/>
    <col min="9222" max="9222" width="9" style="2854"/>
    <col min="9223" max="9223" width="9.375" style="2854" bestFit="1" customWidth="1"/>
    <col min="9224" max="9225" width="9" style="2854"/>
    <col min="9226" max="9226" width="9.375" style="2854" bestFit="1" customWidth="1"/>
    <col min="9227" max="9227" width="4" style="2854" customWidth="1"/>
    <col min="9228" max="9228" width="5.125" style="2854" customWidth="1"/>
    <col min="9229" max="9229" width="13.75" style="2854" customWidth="1"/>
    <col min="9230" max="9472" width="9" style="2854"/>
    <col min="9473" max="9473" width="4.875" style="2854" customWidth="1"/>
    <col min="9474" max="9474" width="13.25" style="2854" customWidth="1"/>
    <col min="9475" max="9475" width="15.625" style="2854" customWidth="1"/>
    <col min="9476" max="9476" width="9.375" style="2854" bestFit="1" customWidth="1"/>
    <col min="9477" max="9477" width="13.5" style="2854" customWidth="1"/>
    <col min="9478" max="9478" width="9" style="2854"/>
    <col min="9479" max="9479" width="9.375" style="2854" bestFit="1" customWidth="1"/>
    <col min="9480" max="9481" width="9" style="2854"/>
    <col min="9482" max="9482" width="9.375" style="2854" bestFit="1" customWidth="1"/>
    <col min="9483" max="9483" width="4" style="2854" customWidth="1"/>
    <col min="9484" max="9484" width="5.125" style="2854" customWidth="1"/>
    <col min="9485" max="9485" width="13.75" style="2854" customWidth="1"/>
    <col min="9486" max="9728" width="9" style="2854"/>
    <col min="9729" max="9729" width="4.875" style="2854" customWidth="1"/>
    <col min="9730" max="9730" width="13.25" style="2854" customWidth="1"/>
    <col min="9731" max="9731" width="15.625" style="2854" customWidth="1"/>
    <col min="9732" max="9732" width="9.375" style="2854" bestFit="1" customWidth="1"/>
    <col min="9733" max="9733" width="13.5" style="2854" customWidth="1"/>
    <col min="9734" max="9734" width="9" style="2854"/>
    <col min="9735" max="9735" width="9.375" style="2854" bestFit="1" customWidth="1"/>
    <col min="9736" max="9737" width="9" style="2854"/>
    <col min="9738" max="9738" width="9.375" style="2854" bestFit="1" customWidth="1"/>
    <col min="9739" max="9739" width="4" style="2854" customWidth="1"/>
    <col min="9740" max="9740" width="5.125" style="2854" customWidth="1"/>
    <col min="9741" max="9741" width="13.75" style="2854" customWidth="1"/>
    <col min="9742" max="9984" width="9" style="2854"/>
    <col min="9985" max="9985" width="4.875" style="2854" customWidth="1"/>
    <col min="9986" max="9986" width="13.25" style="2854" customWidth="1"/>
    <col min="9987" max="9987" width="15.625" style="2854" customWidth="1"/>
    <col min="9988" max="9988" width="9.375" style="2854" bestFit="1" customWidth="1"/>
    <col min="9989" max="9989" width="13.5" style="2854" customWidth="1"/>
    <col min="9990" max="9990" width="9" style="2854"/>
    <col min="9991" max="9991" width="9.375" style="2854" bestFit="1" customWidth="1"/>
    <col min="9992" max="9993" width="9" style="2854"/>
    <col min="9994" max="9994" width="9.375" style="2854" bestFit="1" customWidth="1"/>
    <col min="9995" max="9995" width="4" style="2854" customWidth="1"/>
    <col min="9996" max="9996" width="5.125" style="2854" customWidth="1"/>
    <col min="9997" max="9997" width="13.75" style="2854" customWidth="1"/>
    <col min="9998" max="10240" width="9" style="2854"/>
    <col min="10241" max="10241" width="4.875" style="2854" customWidth="1"/>
    <col min="10242" max="10242" width="13.25" style="2854" customWidth="1"/>
    <col min="10243" max="10243" width="15.625" style="2854" customWidth="1"/>
    <col min="10244" max="10244" width="9.375" style="2854" bestFit="1" customWidth="1"/>
    <col min="10245" max="10245" width="13.5" style="2854" customWidth="1"/>
    <col min="10246" max="10246" width="9" style="2854"/>
    <col min="10247" max="10247" width="9.375" style="2854" bestFit="1" customWidth="1"/>
    <col min="10248" max="10249" width="9" style="2854"/>
    <col min="10250" max="10250" width="9.375" style="2854" bestFit="1" customWidth="1"/>
    <col min="10251" max="10251" width="4" style="2854" customWidth="1"/>
    <col min="10252" max="10252" width="5.125" style="2854" customWidth="1"/>
    <col min="10253" max="10253" width="13.75" style="2854" customWidth="1"/>
    <col min="10254" max="10496" width="9" style="2854"/>
    <col min="10497" max="10497" width="4.875" style="2854" customWidth="1"/>
    <col min="10498" max="10498" width="13.25" style="2854" customWidth="1"/>
    <col min="10499" max="10499" width="15.625" style="2854" customWidth="1"/>
    <col min="10500" max="10500" width="9.375" style="2854" bestFit="1" customWidth="1"/>
    <col min="10501" max="10501" width="13.5" style="2854" customWidth="1"/>
    <col min="10502" max="10502" width="9" style="2854"/>
    <col min="10503" max="10503" width="9.375" style="2854" bestFit="1" customWidth="1"/>
    <col min="10504" max="10505" width="9" style="2854"/>
    <col min="10506" max="10506" width="9.375" style="2854" bestFit="1" customWidth="1"/>
    <col min="10507" max="10507" width="4" style="2854" customWidth="1"/>
    <col min="10508" max="10508" width="5.125" style="2854" customWidth="1"/>
    <col min="10509" max="10509" width="13.75" style="2854" customWidth="1"/>
    <col min="10510" max="10752" width="9" style="2854"/>
    <col min="10753" max="10753" width="4.875" style="2854" customWidth="1"/>
    <col min="10754" max="10754" width="13.25" style="2854" customWidth="1"/>
    <col min="10755" max="10755" width="15.625" style="2854" customWidth="1"/>
    <col min="10756" max="10756" width="9.375" style="2854" bestFit="1" customWidth="1"/>
    <col min="10757" max="10757" width="13.5" style="2854" customWidth="1"/>
    <col min="10758" max="10758" width="9" style="2854"/>
    <col min="10759" max="10759" width="9.375" style="2854" bestFit="1" customWidth="1"/>
    <col min="10760" max="10761" width="9" style="2854"/>
    <col min="10762" max="10762" width="9.375" style="2854" bestFit="1" customWidth="1"/>
    <col min="10763" max="10763" width="4" style="2854" customWidth="1"/>
    <col min="10764" max="10764" width="5.125" style="2854" customWidth="1"/>
    <col min="10765" max="10765" width="13.75" style="2854" customWidth="1"/>
    <col min="10766" max="11008" width="9" style="2854"/>
    <col min="11009" max="11009" width="4.875" style="2854" customWidth="1"/>
    <col min="11010" max="11010" width="13.25" style="2854" customWidth="1"/>
    <col min="11011" max="11011" width="15.625" style="2854" customWidth="1"/>
    <col min="11012" max="11012" width="9.375" style="2854" bestFit="1" customWidth="1"/>
    <col min="11013" max="11013" width="13.5" style="2854" customWidth="1"/>
    <col min="11014" max="11014" width="9" style="2854"/>
    <col min="11015" max="11015" width="9.375" style="2854" bestFit="1" customWidth="1"/>
    <col min="11016" max="11017" width="9" style="2854"/>
    <col min="11018" max="11018" width="9.375" style="2854" bestFit="1" customWidth="1"/>
    <col min="11019" max="11019" width="4" style="2854" customWidth="1"/>
    <col min="11020" max="11020" width="5.125" style="2854" customWidth="1"/>
    <col min="11021" max="11021" width="13.75" style="2854" customWidth="1"/>
    <col min="11022" max="11264" width="9" style="2854"/>
    <col min="11265" max="11265" width="4.875" style="2854" customWidth="1"/>
    <col min="11266" max="11266" width="13.25" style="2854" customWidth="1"/>
    <col min="11267" max="11267" width="15.625" style="2854" customWidth="1"/>
    <col min="11268" max="11268" width="9.375" style="2854" bestFit="1" customWidth="1"/>
    <col min="11269" max="11269" width="13.5" style="2854" customWidth="1"/>
    <col min="11270" max="11270" width="9" style="2854"/>
    <col min="11271" max="11271" width="9.375" style="2854" bestFit="1" customWidth="1"/>
    <col min="11272" max="11273" width="9" style="2854"/>
    <col min="11274" max="11274" width="9.375" style="2854" bestFit="1" customWidth="1"/>
    <col min="11275" max="11275" width="4" style="2854" customWidth="1"/>
    <col min="11276" max="11276" width="5.125" style="2854" customWidth="1"/>
    <col min="11277" max="11277" width="13.75" style="2854" customWidth="1"/>
    <col min="11278" max="11520" width="9" style="2854"/>
    <col min="11521" max="11521" width="4.875" style="2854" customWidth="1"/>
    <col min="11522" max="11522" width="13.25" style="2854" customWidth="1"/>
    <col min="11523" max="11523" width="15.625" style="2854" customWidth="1"/>
    <col min="11524" max="11524" width="9.375" style="2854" bestFit="1" customWidth="1"/>
    <col min="11525" max="11525" width="13.5" style="2854" customWidth="1"/>
    <col min="11526" max="11526" width="9" style="2854"/>
    <col min="11527" max="11527" width="9.375" style="2854" bestFit="1" customWidth="1"/>
    <col min="11528" max="11529" width="9" style="2854"/>
    <col min="11530" max="11530" width="9.375" style="2854" bestFit="1" customWidth="1"/>
    <col min="11531" max="11531" width="4" style="2854" customWidth="1"/>
    <col min="11532" max="11532" width="5.125" style="2854" customWidth="1"/>
    <col min="11533" max="11533" width="13.75" style="2854" customWidth="1"/>
    <col min="11534" max="11776" width="9" style="2854"/>
    <col min="11777" max="11777" width="4.875" style="2854" customWidth="1"/>
    <col min="11778" max="11778" width="13.25" style="2854" customWidth="1"/>
    <col min="11779" max="11779" width="15.625" style="2854" customWidth="1"/>
    <col min="11780" max="11780" width="9.375" style="2854" bestFit="1" customWidth="1"/>
    <col min="11781" max="11781" width="13.5" style="2854" customWidth="1"/>
    <col min="11782" max="11782" width="9" style="2854"/>
    <col min="11783" max="11783" width="9.375" style="2854" bestFit="1" customWidth="1"/>
    <col min="11784" max="11785" width="9" style="2854"/>
    <col min="11786" max="11786" width="9.375" style="2854" bestFit="1" customWidth="1"/>
    <col min="11787" max="11787" width="4" style="2854" customWidth="1"/>
    <col min="11788" max="11788" width="5.125" style="2854" customWidth="1"/>
    <col min="11789" max="11789" width="13.75" style="2854" customWidth="1"/>
    <col min="11790" max="12032" width="9" style="2854"/>
    <col min="12033" max="12033" width="4.875" style="2854" customWidth="1"/>
    <col min="12034" max="12034" width="13.25" style="2854" customWidth="1"/>
    <col min="12035" max="12035" width="15.625" style="2854" customWidth="1"/>
    <col min="12036" max="12036" width="9.375" style="2854" bestFit="1" customWidth="1"/>
    <col min="12037" max="12037" width="13.5" style="2854" customWidth="1"/>
    <col min="12038" max="12038" width="9" style="2854"/>
    <col min="12039" max="12039" width="9.375" style="2854" bestFit="1" customWidth="1"/>
    <col min="12040" max="12041" width="9" style="2854"/>
    <col min="12042" max="12042" width="9.375" style="2854" bestFit="1" customWidth="1"/>
    <col min="12043" max="12043" width="4" style="2854" customWidth="1"/>
    <col min="12044" max="12044" width="5.125" style="2854" customWidth="1"/>
    <col min="12045" max="12045" width="13.75" style="2854" customWidth="1"/>
    <col min="12046" max="12288" width="9" style="2854"/>
    <col min="12289" max="12289" width="4.875" style="2854" customWidth="1"/>
    <col min="12290" max="12290" width="13.25" style="2854" customWidth="1"/>
    <col min="12291" max="12291" width="15.625" style="2854" customWidth="1"/>
    <col min="12292" max="12292" width="9.375" style="2854" bestFit="1" customWidth="1"/>
    <col min="12293" max="12293" width="13.5" style="2854" customWidth="1"/>
    <col min="12294" max="12294" width="9" style="2854"/>
    <col min="12295" max="12295" width="9.375" style="2854" bestFit="1" customWidth="1"/>
    <col min="12296" max="12297" width="9" style="2854"/>
    <col min="12298" max="12298" width="9.375" style="2854" bestFit="1" customWidth="1"/>
    <col min="12299" max="12299" width="4" style="2854" customWidth="1"/>
    <col min="12300" max="12300" width="5.125" style="2854" customWidth="1"/>
    <col min="12301" max="12301" width="13.75" style="2854" customWidth="1"/>
    <col min="12302" max="12544" width="9" style="2854"/>
    <col min="12545" max="12545" width="4.875" style="2854" customWidth="1"/>
    <col min="12546" max="12546" width="13.25" style="2854" customWidth="1"/>
    <col min="12547" max="12547" width="15.625" style="2854" customWidth="1"/>
    <col min="12548" max="12548" width="9.375" style="2854" bestFit="1" customWidth="1"/>
    <col min="12549" max="12549" width="13.5" style="2854" customWidth="1"/>
    <col min="12550" max="12550" width="9" style="2854"/>
    <col min="12551" max="12551" width="9.375" style="2854" bestFit="1" customWidth="1"/>
    <col min="12552" max="12553" width="9" style="2854"/>
    <col min="12554" max="12554" width="9.375" style="2854" bestFit="1" customWidth="1"/>
    <col min="12555" max="12555" width="4" style="2854" customWidth="1"/>
    <col min="12556" max="12556" width="5.125" style="2854" customWidth="1"/>
    <col min="12557" max="12557" width="13.75" style="2854" customWidth="1"/>
    <col min="12558" max="12800" width="9" style="2854"/>
    <col min="12801" max="12801" width="4.875" style="2854" customWidth="1"/>
    <col min="12802" max="12802" width="13.25" style="2854" customWidth="1"/>
    <col min="12803" max="12803" width="15.625" style="2854" customWidth="1"/>
    <col min="12804" max="12804" width="9.375" style="2854" bestFit="1" customWidth="1"/>
    <col min="12805" max="12805" width="13.5" style="2854" customWidth="1"/>
    <col min="12806" max="12806" width="9" style="2854"/>
    <col min="12807" max="12807" width="9.375" style="2854" bestFit="1" customWidth="1"/>
    <col min="12808" max="12809" width="9" style="2854"/>
    <col min="12810" max="12810" width="9.375" style="2854" bestFit="1" customWidth="1"/>
    <col min="12811" max="12811" width="4" style="2854" customWidth="1"/>
    <col min="12812" max="12812" width="5.125" style="2854" customWidth="1"/>
    <col min="12813" max="12813" width="13.75" style="2854" customWidth="1"/>
    <col min="12814" max="13056" width="9" style="2854"/>
    <col min="13057" max="13057" width="4.875" style="2854" customWidth="1"/>
    <col min="13058" max="13058" width="13.25" style="2854" customWidth="1"/>
    <col min="13059" max="13059" width="15.625" style="2854" customWidth="1"/>
    <col min="13060" max="13060" width="9.375" style="2854" bestFit="1" customWidth="1"/>
    <col min="13061" max="13061" width="13.5" style="2854" customWidth="1"/>
    <col min="13062" max="13062" width="9" style="2854"/>
    <col min="13063" max="13063" width="9.375" style="2854" bestFit="1" customWidth="1"/>
    <col min="13064" max="13065" width="9" style="2854"/>
    <col min="13066" max="13066" width="9.375" style="2854" bestFit="1" customWidth="1"/>
    <col min="13067" max="13067" width="4" style="2854" customWidth="1"/>
    <col min="13068" max="13068" width="5.125" style="2854" customWidth="1"/>
    <col min="13069" max="13069" width="13.75" style="2854" customWidth="1"/>
    <col min="13070" max="13312" width="9" style="2854"/>
    <col min="13313" max="13313" width="4.875" style="2854" customWidth="1"/>
    <col min="13314" max="13314" width="13.25" style="2854" customWidth="1"/>
    <col min="13315" max="13315" width="15.625" style="2854" customWidth="1"/>
    <col min="13316" max="13316" width="9.375" style="2854" bestFit="1" customWidth="1"/>
    <col min="13317" max="13317" width="13.5" style="2854" customWidth="1"/>
    <col min="13318" max="13318" width="9" style="2854"/>
    <col min="13319" max="13319" width="9.375" style="2854" bestFit="1" customWidth="1"/>
    <col min="13320" max="13321" width="9" style="2854"/>
    <col min="13322" max="13322" width="9.375" style="2854" bestFit="1" customWidth="1"/>
    <col min="13323" max="13323" width="4" style="2854" customWidth="1"/>
    <col min="13324" max="13324" width="5.125" style="2854" customWidth="1"/>
    <col min="13325" max="13325" width="13.75" style="2854" customWidth="1"/>
    <col min="13326" max="13568" width="9" style="2854"/>
    <col min="13569" max="13569" width="4.875" style="2854" customWidth="1"/>
    <col min="13570" max="13570" width="13.25" style="2854" customWidth="1"/>
    <col min="13571" max="13571" width="15.625" style="2854" customWidth="1"/>
    <col min="13572" max="13572" width="9.375" style="2854" bestFit="1" customWidth="1"/>
    <col min="13573" max="13573" width="13.5" style="2854" customWidth="1"/>
    <col min="13574" max="13574" width="9" style="2854"/>
    <col min="13575" max="13575" width="9.375" style="2854" bestFit="1" customWidth="1"/>
    <col min="13576" max="13577" width="9" style="2854"/>
    <col min="13578" max="13578" width="9.375" style="2854" bestFit="1" customWidth="1"/>
    <col min="13579" max="13579" width="4" style="2854" customWidth="1"/>
    <col min="13580" max="13580" width="5.125" style="2854" customWidth="1"/>
    <col min="13581" max="13581" width="13.75" style="2854" customWidth="1"/>
    <col min="13582" max="13824" width="9" style="2854"/>
    <col min="13825" max="13825" width="4.875" style="2854" customWidth="1"/>
    <col min="13826" max="13826" width="13.25" style="2854" customWidth="1"/>
    <col min="13827" max="13827" width="15.625" style="2854" customWidth="1"/>
    <col min="13828" max="13828" width="9.375" style="2854" bestFit="1" customWidth="1"/>
    <col min="13829" max="13829" width="13.5" style="2854" customWidth="1"/>
    <col min="13830" max="13830" width="9" style="2854"/>
    <col min="13831" max="13831" width="9.375" style="2854" bestFit="1" customWidth="1"/>
    <col min="13832" max="13833" width="9" style="2854"/>
    <col min="13834" max="13834" width="9.375" style="2854" bestFit="1" customWidth="1"/>
    <col min="13835" max="13835" width="4" style="2854" customWidth="1"/>
    <col min="13836" max="13836" width="5.125" style="2854" customWidth="1"/>
    <col min="13837" max="13837" width="13.75" style="2854" customWidth="1"/>
    <col min="13838" max="14080" width="9" style="2854"/>
    <col min="14081" max="14081" width="4.875" style="2854" customWidth="1"/>
    <col min="14082" max="14082" width="13.25" style="2854" customWidth="1"/>
    <col min="14083" max="14083" width="15.625" style="2854" customWidth="1"/>
    <col min="14084" max="14084" width="9.375" style="2854" bestFit="1" customWidth="1"/>
    <col min="14085" max="14085" width="13.5" style="2854" customWidth="1"/>
    <col min="14086" max="14086" width="9" style="2854"/>
    <col min="14087" max="14087" width="9.375" style="2854" bestFit="1" customWidth="1"/>
    <col min="14088" max="14089" width="9" style="2854"/>
    <col min="14090" max="14090" width="9.375" style="2854" bestFit="1" customWidth="1"/>
    <col min="14091" max="14091" width="4" style="2854" customWidth="1"/>
    <col min="14092" max="14092" width="5.125" style="2854" customWidth="1"/>
    <col min="14093" max="14093" width="13.75" style="2854" customWidth="1"/>
    <col min="14094" max="14336" width="9" style="2854"/>
    <col min="14337" max="14337" width="4.875" style="2854" customWidth="1"/>
    <col min="14338" max="14338" width="13.25" style="2854" customWidth="1"/>
    <col min="14339" max="14339" width="15.625" style="2854" customWidth="1"/>
    <col min="14340" max="14340" width="9.375" style="2854" bestFit="1" customWidth="1"/>
    <col min="14341" max="14341" width="13.5" style="2854" customWidth="1"/>
    <col min="14342" max="14342" width="9" style="2854"/>
    <col min="14343" max="14343" width="9.375" style="2854" bestFit="1" customWidth="1"/>
    <col min="14344" max="14345" width="9" style="2854"/>
    <col min="14346" max="14346" width="9.375" style="2854" bestFit="1" customWidth="1"/>
    <col min="14347" max="14347" width="4" style="2854" customWidth="1"/>
    <col min="14348" max="14348" width="5.125" style="2854" customWidth="1"/>
    <col min="14349" max="14349" width="13.75" style="2854" customWidth="1"/>
    <col min="14350" max="14592" width="9" style="2854"/>
    <col min="14593" max="14593" width="4.875" style="2854" customWidth="1"/>
    <col min="14594" max="14594" width="13.25" style="2854" customWidth="1"/>
    <col min="14595" max="14595" width="15.625" style="2854" customWidth="1"/>
    <col min="14596" max="14596" width="9.375" style="2854" bestFit="1" customWidth="1"/>
    <col min="14597" max="14597" width="13.5" style="2854" customWidth="1"/>
    <col min="14598" max="14598" width="9" style="2854"/>
    <col min="14599" max="14599" width="9.375" style="2854" bestFit="1" customWidth="1"/>
    <col min="14600" max="14601" width="9" style="2854"/>
    <col min="14602" max="14602" width="9.375" style="2854" bestFit="1" customWidth="1"/>
    <col min="14603" max="14603" width="4" style="2854" customWidth="1"/>
    <col min="14604" max="14604" width="5.125" style="2854" customWidth="1"/>
    <col min="14605" max="14605" width="13.75" style="2854" customWidth="1"/>
    <col min="14606" max="14848" width="9" style="2854"/>
    <col min="14849" max="14849" width="4.875" style="2854" customWidth="1"/>
    <col min="14850" max="14850" width="13.25" style="2854" customWidth="1"/>
    <col min="14851" max="14851" width="15.625" style="2854" customWidth="1"/>
    <col min="14852" max="14852" width="9.375" style="2854" bestFit="1" customWidth="1"/>
    <col min="14853" max="14853" width="13.5" style="2854" customWidth="1"/>
    <col min="14854" max="14854" width="9" style="2854"/>
    <col min="14855" max="14855" width="9.375" style="2854" bestFit="1" customWidth="1"/>
    <col min="14856" max="14857" width="9" style="2854"/>
    <col min="14858" max="14858" width="9.375" style="2854" bestFit="1" customWidth="1"/>
    <col min="14859" max="14859" width="4" style="2854" customWidth="1"/>
    <col min="14860" max="14860" width="5.125" style="2854" customWidth="1"/>
    <col min="14861" max="14861" width="13.75" style="2854" customWidth="1"/>
    <col min="14862" max="15104" width="9" style="2854"/>
    <col min="15105" max="15105" width="4.875" style="2854" customWidth="1"/>
    <col min="15106" max="15106" width="13.25" style="2854" customWidth="1"/>
    <col min="15107" max="15107" width="15.625" style="2854" customWidth="1"/>
    <col min="15108" max="15108" width="9.375" style="2854" bestFit="1" customWidth="1"/>
    <col min="15109" max="15109" width="13.5" style="2854" customWidth="1"/>
    <col min="15110" max="15110" width="9" style="2854"/>
    <col min="15111" max="15111" width="9.375" style="2854" bestFit="1" customWidth="1"/>
    <col min="15112" max="15113" width="9" style="2854"/>
    <col min="15114" max="15114" width="9.375" style="2854" bestFit="1" customWidth="1"/>
    <col min="15115" max="15115" width="4" style="2854" customWidth="1"/>
    <col min="15116" max="15116" width="5.125" style="2854" customWidth="1"/>
    <col min="15117" max="15117" width="13.75" style="2854" customWidth="1"/>
    <col min="15118" max="15360" width="9" style="2854"/>
    <col min="15361" max="15361" width="4.875" style="2854" customWidth="1"/>
    <col min="15362" max="15362" width="13.25" style="2854" customWidth="1"/>
    <col min="15363" max="15363" width="15.625" style="2854" customWidth="1"/>
    <col min="15364" max="15364" width="9.375" style="2854" bestFit="1" customWidth="1"/>
    <col min="15365" max="15365" width="13.5" style="2854" customWidth="1"/>
    <col min="15366" max="15366" width="9" style="2854"/>
    <col min="15367" max="15367" width="9.375" style="2854" bestFit="1" customWidth="1"/>
    <col min="15368" max="15369" width="9" style="2854"/>
    <col min="15370" max="15370" width="9.375" style="2854" bestFit="1" customWidth="1"/>
    <col min="15371" max="15371" width="4" style="2854" customWidth="1"/>
    <col min="15372" max="15372" width="5.125" style="2854" customWidth="1"/>
    <col min="15373" max="15373" width="13.75" style="2854" customWidth="1"/>
    <col min="15374" max="15616" width="9" style="2854"/>
    <col min="15617" max="15617" width="4.875" style="2854" customWidth="1"/>
    <col min="15618" max="15618" width="13.25" style="2854" customWidth="1"/>
    <col min="15619" max="15619" width="15.625" style="2854" customWidth="1"/>
    <col min="15620" max="15620" width="9.375" style="2854" bestFit="1" customWidth="1"/>
    <col min="15621" max="15621" width="13.5" style="2854" customWidth="1"/>
    <col min="15622" max="15622" width="9" style="2854"/>
    <col min="15623" max="15623" width="9.375" style="2854" bestFit="1" customWidth="1"/>
    <col min="15624" max="15625" width="9" style="2854"/>
    <col min="15626" max="15626" width="9.375" style="2854" bestFit="1" customWidth="1"/>
    <col min="15627" max="15627" width="4" style="2854" customWidth="1"/>
    <col min="15628" max="15628" width="5.125" style="2854" customWidth="1"/>
    <col min="15629" max="15629" width="13.75" style="2854" customWidth="1"/>
    <col min="15630" max="15872" width="9" style="2854"/>
    <col min="15873" max="15873" width="4.875" style="2854" customWidth="1"/>
    <col min="15874" max="15874" width="13.25" style="2854" customWidth="1"/>
    <col min="15875" max="15875" width="15.625" style="2854" customWidth="1"/>
    <col min="15876" max="15876" width="9.375" style="2854" bestFit="1" customWidth="1"/>
    <col min="15877" max="15877" width="13.5" style="2854" customWidth="1"/>
    <col min="15878" max="15878" width="9" style="2854"/>
    <col min="15879" max="15879" width="9.375" style="2854" bestFit="1" customWidth="1"/>
    <col min="15880" max="15881" width="9" style="2854"/>
    <col min="15882" max="15882" width="9.375" style="2854" bestFit="1" customWidth="1"/>
    <col min="15883" max="15883" width="4" style="2854" customWidth="1"/>
    <col min="15884" max="15884" width="5.125" style="2854" customWidth="1"/>
    <col min="15885" max="15885" width="13.75" style="2854" customWidth="1"/>
    <col min="15886" max="16128" width="9" style="2854"/>
    <col min="16129" max="16129" width="4.875" style="2854" customWidth="1"/>
    <col min="16130" max="16130" width="13.25" style="2854" customWidth="1"/>
    <col min="16131" max="16131" width="15.625" style="2854" customWidth="1"/>
    <col min="16132" max="16132" width="9.375" style="2854" bestFit="1" customWidth="1"/>
    <col min="16133" max="16133" width="13.5" style="2854" customWidth="1"/>
    <col min="16134" max="16134" width="9" style="2854"/>
    <col min="16135" max="16135" width="9.375" style="2854" bestFit="1" customWidth="1"/>
    <col min="16136" max="16137" width="9" style="2854"/>
    <col min="16138" max="16138" width="9.375" style="2854" bestFit="1" customWidth="1"/>
    <col min="16139" max="16139" width="4" style="2854" customWidth="1"/>
    <col min="16140" max="16140" width="5.125" style="2854" customWidth="1"/>
    <col min="16141" max="16141" width="13.75" style="2854" customWidth="1"/>
    <col min="16142" max="16384" width="9" style="2854"/>
  </cols>
  <sheetData>
    <row r="1" spans="1:257" s="2914" customFormat="1" ht="14.25" thickBot="1">
      <c r="A1" s="2913"/>
      <c r="B1" s="2915" t="s">
        <v>2787</v>
      </c>
      <c r="C1" s="2919">
        <f>项目基本情况!D3</f>
        <v>43095</v>
      </c>
      <c r="H1" s="2853">
        <f>IF(C1&gt;C13,0,MATCH(C1,C$13:C$100,-1))+IF(SUMIF(C13:C100,C1,D13:D100)=0,13,12)</f>
        <v>13</v>
      </c>
      <c r="I1" s="2853">
        <f ca="1">MATCH(C2,H3:H7,1)+IF(SUMIF(H3:H7,C2,I3:I7)=0,2,1)</f>
        <v>5</v>
      </c>
      <c r="J1" s="2912">
        <f ca="1">MATCH(C3,H3:H7,1)+IF(SUMIF(H3:H7,C3,J3:J7)=0,2,1)</f>
        <v>2</v>
      </c>
      <c r="N1" s="2853">
        <f>IF(C1&gt;M13,0,MATCH(C1,M$13:M$100,-1))+IF(SUMIF(M13:M100,C1,N13:N100)=0,13,12)</f>
        <v>13</v>
      </c>
      <c r="P1" s="2913"/>
      <c r="Q1" s="2913"/>
      <c r="R1" s="2913"/>
      <c r="S1" s="2913"/>
      <c r="T1" s="2913"/>
      <c r="U1" s="2913"/>
      <c r="V1" s="2913"/>
      <c r="W1" s="2913"/>
      <c r="X1" s="2913"/>
      <c r="Y1" s="2913"/>
      <c r="Z1" s="2913"/>
      <c r="AA1" s="2913"/>
      <c r="AB1" s="2913"/>
      <c r="AC1" s="2913"/>
      <c r="AD1" s="2913"/>
      <c r="AE1" s="2913"/>
      <c r="AF1" s="2913"/>
      <c r="AG1" s="2913"/>
      <c r="AH1" s="2913"/>
      <c r="AI1" s="2913"/>
      <c r="AJ1" s="2913"/>
      <c r="AK1" s="2913"/>
      <c r="AL1" s="2913"/>
      <c r="AM1" s="2913"/>
      <c r="AN1" s="2913"/>
      <c r="AO1" s="2913"/>
      <c r="AP1" s="2913"/>
      <c r="AQ1" s="2913"/>
      <c r="AR1" s="2913"/>
      <c r="AS1" s="2913"/>
      <c r="AT1" s="2913"/>
      <c r="AU1" s="2913"/>
      <c r="AV1" s="2913"/>
      <c r="AW1" s="2913"/>
      <c r="AX1" s="2913"/>
      <c r="AY1" s="2913"/>
      <c r="AZ1" s="2913"/>
      <c r="BA1" s="2913"/>
      <c r="BB1" s="2913"/>
      <c r="BC1" s="2913"/>
      <c r="BD1" s="2913"/>
      <c r="BE1" s="2913"/>
      <c r="BF1" s="2913"/>
      <c r="BG1" s="2913"/>
      <c r="BH1" s="2913"/>
      <c r="BI1" s="2913"/>
      <c r="BJ1" s="2913"/>
      <c r="BK1" s="2913"/>
      <c r="BL1" s="2913"/>
      <c r="BM1" s="2913"/>
      <c r="BN1" s="2913"/>
      <c r="BO1" s="2913"/>
      <c r="BP1" s="2913"/>
      <c r="BQ1" s="2913"/>
      <c r="BR1" s="2913"/>
      <c r="BS1" s="2913"/>
      <c r="BT1" s="2913"/>
      <c r="BU1" s="2913"/>
      <c r="BV1" s="2913"/>
      <c r="BW1" s="2913"/>
      <c r="BX1" s="2913"/>
      <c r="BY1" s="2913"/>
      <c r="BZ1" s="2913"/>
      <c r="CA1" s="2913"/>
      <c r="CB1" s="2913"/>
      <c r="CC1" s="2913"/>
      <c r="CD1" s="2913"/>
      <c r="CE1" s="2913"/>
      <c r="CF1" s="2913"/>
      <c r="CG1" s="2913"/>
      <c r="CH1" s="2913"/>
      <c r="CI1" s="2913"/>
      <c r="CJ1" s="2913"/>
      <c r="CK1" s="2913"/>
      <c r="CL1" s="2913"/>
      <c r="CM1" s="2913"/>
      <c r="CN1" s="2913"/>
      <c r="CO1" s="2913"/>
      <c r="CP1" s="2913"/>
      <c r="CQ1" s="2913"/>
      <c r="CR1" s="2913"/>
      <c r="CS1" s="2913"/>
      <c r="CT1" s="2913"/>
      <c r="CU1" s="2913"/>
      <c r="CV1" s="2913"/>
      <c r="CW1" s="2913"/>
      <c r="CX1" s="2913"/>
      <c r="CY1" s="2913"/>
      <c r="CZ1" s="2913"/>
      <c r="DA1" s="2913"/>
      <c r="DB1" s="2913"/>
      <c r="DC1" s="2913"/>
      <c r="DD1" s="2913"/>
      <c r="DE1" s="2913"/>
      <c r="DF1" s="2913"/>
      <c r="DG1" s="2913"/>
      <c r="DH1" s="2913"/>
      <c r="DI1" s="2913"/>
      <c r="DJ1" s="2913"/>
      <c r="DK1" s="2913"/>
      <c r="DL1" s="2913"/>
      <c r="DM1" s="2913"/>
      <c r="DN1" s="2913"/>
      <c r="DO1" s="2913"/>
      <c r="DP1" s="2913"/>
      <c r="DQ1" s="2913"/>
      <c r="DR1" s="2913"/>
      <c r="DS1" s="2913"/>
      <c r="DT1" s="2913"/>
      <c r="DU1" s="2913"/>
      <c r="DV1" s="2913"/>
      <c r="DW1" s="2913"/>
      <c r="DX1" s="2913"/>
      <c r="DY1" s="2913"/>
      <c r="DZ1" s="2913"/>
      <c r="EA1" s="2913"/>
      <c r="EB1" s="2913"/>
      <c r="EC1" s="2913"/>
      <c r="ED1" s="2913"/>
      <c r="EE1" s="2913"/>
      <c r="EF1" s="2913"/>
      <c r="EG1" s="2913"/>
      <c r="EH1" s="2913"/>
      <c r="EI1" s="2913"/>
      <c r="EJ1" s="2913"/>
      <c r="EK1" s="2913"/>
      <c r="EL1" s="2913"/>
      <c r="EM1" s="2913"/>
      <c r="EN1" s="2913"/>
      <c r="EO1" s="2913"/>
      <c r="EP1" s="2913"/>
      <c r="EQ1" s="2913"/>
      <c r="ER1" s="2913"/>
      <c r="ES1" s="2913"/>
      <c r="ET1" s="2913"/>
      <c r="EU1" s="2913"/>
      <c r="EV1" s="2913"/>
      <c r="EW1" s="2913"/>
      <c r="EX1" s="2913"/>
      <c r="EY1" s="2913"/>
      <c r="EZ1" s="2913"/>
      <c r="FA1" s="2913"/>
      <c r="FB1" s="2913"/>
      <c r="FC1" s="2913"/>
      <c r="FD1" s="2913"/>
      <c r="FE1" s="2913"/>
      <c r="FF1" s="2913"/>
      <c r="FG1" s="2913"/>
      <c r="FH1" s="2913"/>
      <c r="FI1" s="2913"/>
      <c r="FJ1" s="2913"/>
      <c r="FK1" s="2913"/>
      <c r="FL1" s="2913"/>
      <c r="FM1" s="2913"/>
      <c r="FN1" s="2913"/>
      <c r="FO1" s="2913"/>
      <c r="FP1" s="2913"/>
      <c r="FQ1" s="2913"/>
      <c r="FR1" s="2913"/>
      <c r="FS1" s="2913"/>
      <c r="FT1" s="2913"/>
      <c r="FU1" s="2913"/>
      <c r="FV1" s="2913"/>
      <c r="FW1" s="2913"/>
      <c r="FX1" s="2913"/>
      <c r="FY1" s="2913"/>
      <c r="FZ1" s="2913"/>
      <c r="GA1" s="2913"/>
      <c r="GB1" s="2913"/>
      <c r="GC1" s="2913"/>
      <c r="GD1" s="2913"/>
      <c r="GE1" s="2913"/>
      <c r="GF1" s="2913"/>
      <c r="GG1" s="2913"/>
      <c r="GH1" s="2913"/>
      <c r="GI1" s="2913"/>
      <c r="GJ1" s="2913"/>
      <c r="GK1" s="2913"/>
      <c r="GL1" s="2913"/>
      <c r="GM1" s="2913"/>
      <c r="GN1" s="2913"/>
      <c r="GO1" s="2913"/>
      <c r="GP1" s="2913"/>
      <c r="GQ1" s="2913"/>
      <c r="GR1" s="2913"/>
      <c r="GS1" s="2913"/>
      <c r="GT1" s="2913"/>
      <c r="GU1" s="2913"/>
      <c r="GV1" s="2913"/>
      <c r="GW1" s="2913"/>
      <c r="GX1" s="2913"/>
      <c r="GY1" s="2913"/>
      <c r="GZ1" s="2913"/>
      <c r="HA1" s="2913"/>
      <c r="HB1" s="2913"/>
      <c r="HC1" s="2913"/>
      <c r="HD1" s="2913"/>
      <c r="HE1" s="2913"/>
      <c r="HF1" s="2913"/>
      <c r="HG1" s="2913"/>
      <c r="HH1" s="2913"/>
      <c r="HI1" s="2913"/>
      <c r="HJ1" s="2913"/>
      <c r="HK1" s="2913"/>
      <c r="HL1" s="2913"/>
      <c r="HM1" s="2913"/>
      <c r="HN1" s="2913"/>
      <c r="HO1" s="2913"/>
      <c r="HP1" s="2913"/>
      <c r="HQ1" s="2913"/>
      <c r="HR1" s="2913"/>
      <c r="HS1" s="2913"/>
      <c r="HT1" s="2913"/>
      <c r="HU1" s="2913"/>
      <c r="HV1" s="2913"/>
      <c r="HW1" s="2913"/>
      <c r="HX1" s="2913"/>
      <c r="HY1" s="2913"/>
      <c r="HZ1" s="2913"/>
      <c r="IA1" s="2913"/>
      <c r="IB1" s="2913"/>
      <c r="IC1" s="2913"/>
      <c r="ID1" s="2913"/>
      <c r="IE1" s="2913"/>
      <c r="IF1" s="2913"/>
      <c r="IG1" s="2913"/>
      <c r="IH1" s="2913"/>
      <c r="II1" s="2913"/>
      <c r="IJ1" s="2913"/>
      <c r="IK1" s="2913"/>
      <c r="IL1" s="2913"/>
      <c r="IM1" s="2913"/>
      <c r="IN1" s="2913"/>
      <c r="IO1" s="2913"/>
      <c r="IP1" s="2913"/>
      <c r="IQ1" s="2913"/>
      <c r="IR1" s="2913"/>
      <c r="IS1" s="2913"/>
      <c r="IT1" s="2913"/>
      <c r="IU1" s="2913"/>
      <c r="IV1" s="2913"/>
    </row>
    <row r="2" spans="1:257" s="2911" customFormat="1" ht="15" thickTop="1" thickBot="1">
      <c r="A2" s="2855"/>
      <c r="B2" s="2916" t="s">
        <v>2818</v>
      </c>
      <c r="C2" s="2920">
        <f>'数据-取费表'!B22</f>
        <v>3</v>
      </c>
      <c r="D2" s="2915" t="s">
        <v>2788</v>
      </c>
      <c r="E2" s="2918">
        <f ca="1">INDIRECT("I"&amp;$I$1)/100</f>
        <v>4.7500000000000001E-2</v>
      </c>
      <c r="G2" s="2855"/>
      <c r="H2" s="2855"/>
      <c r="I2" s="2855" t="s">
        <v>2789</v>
      </c>
      <c r="K2" s="2855"/>
      <c r="L2" s="2855"/>
      <c r="M2" s="2855"/>
      <c r="N2" s="2855" t="s">
        <v>2790</v>
      </c>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5"/>
      <c r="AO2" s="2855"/>
      <c r="AP2" s="2855"/>
      <c r="AQ2" s="2855"/>
      <c r="AR2" s="2855"/>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c r="BP2" s="2855"/>
      <c r="BQ2" s="2855"/>
      <c r="BR2" s="2855"/>
      <c r="BS2" s="2855"/>
      <c r="BT2" s="2855"/>
      <c r="BU2" s="2855"/>
      <c r="BV2" s="2855"/>
      <c r="BW2" s="2855"/>
      <c r="BX2" s="2855"/>
      <c r="BY2" s="2855"/>
      <c r="BZ2" s="2855"/>
      <c r="CA2" s="2855"/>
      <c r="CB2" s="2855"/>
      <c r="CC2" s="2855"/>
      <c r="CD2" s="2855"/>
      <c r="CE2" s="2855"/>
      <c r="CF2" s="2855"/>
      <c r="CG2" s="2855"/>
      <c r="CH2" s="2855"/>
      <c r="CI2" s="2855"/>
      <c r="CJ2" s="2855"/>
      <c r="CK2" s="2855"/>
      <c r="CL2" s="2855"/>
      <c r="CM2" s="2855"/>
      <c r="CN2" s="2855"/>
      <c r="CO2" s="2855"/>
      <c r="CP2" s="2855"/>
      <c r="CQ2" s="2855"/>
      <c r="CR2" s="2855"/>
      <c r="CS2" s="2855"/>
      <c r="CT2" s="2855"/>
      <c r="CU2" s="2855"/>
      <c r="CV2" s="2855"/>
      <c r="CW2" s="2855"/>
      <c r="CX2" s="2855"/>
      <c r="CY2" s="2855"/>
      <c r="CZ2" s="2855"/>
      <c r="DA2" s="2855"/>
      <c r="DB2" s="2855"/>
      <c r="DC2" s="2855"/>
      <c r="DD2" s="2855"/>
      <c r="DE2" s="2855"/>
      <c r="DF2" s="2855"/>
      <c r="DG2" s="2855"/>
      <c r="DH2" s="2855"/>
      <c r="DI2" s="2855"/>
      <c r="DJ2" s="2855"/>
      <c r="DK2" s="2855"/>
      <c r="DL2" s="2855"/>
      <c r="DM2" s="2855"/>
      <c r="DN2" s="2855"/>
      <c r="DO2" s="2855"/>
      <c r="DP2" s="2855"/>
      <c r="DQ2" s="2855"/>
      <c r="DR2" s="2855"/>
      <c r="DS2" s="2855"/>
      <c r="DT2" s="2855"/>
      <c r="DU2" s="2855"/>
      <c r="DV2" s="2855"/>
      <c r="DW2" s="2855"/>
      <c r="DX2" s="2855"/>
      <c r="DY2" s="2855"/>
      <c r="DZ2" s="2855"/>
      <c r="EA2" s="2855"/>
      <c r="EB2" s="2855"/>
      <c r="EC2" s="2855"/>
      <c r="ED2" s="2855"/>
      <c r="EE2" s="2855"/>
      <c r="EF2" s="2855"/>
      <c r="EG2" s="2855"/>
      <c r="EH2" s="2855"/>
      <c r="EI2" s="2855"/>
      <c r="EJ2" s="2855"/>
      <c r="EK2" s="2855"/>
      <c r="EL2" s="2855"/>
      <c r="EM2" s="2855"/>
      <c r="EN2" s="2855"/>
      <c r="EO2" s="2855"/>
      <c r="EP2" s="2855"/>
      <c r="EQ2" s="2855"/>
      <c r="ER2" s="2855"/>
      <c r="ES2" s="2855"/>
      <c r="ET2" s="2855"/>
      <c r="EU2" s="2855"/>
      <c r="EV2" s="2855"/>
      <c r="EW2" s="2855"/>
      <c r="EX2" s="2855"/>
      <c r="EY2" s="2855"/>
      <c r="EZ2" s="2855"/>
      <c r="FA2" s="2855"/>
      <c r="FB2" s="2855"/>
      <c r="FC2" s="2855"/>
      <c r="FD2" s="2855"/>
      <c r="FE2" s="2855"/>
      <c r="FF2" s="2855"/>
      <c r="FG2" s="2855"/>
      <c r="FH2" s="2855"/>
      <c r="FI2" s="2855"/>
      <c r="FJ2" s="2855"/>
      <c r="FK2" s="2855"/>
      <c r="FL2" s="2855"/>
      <c r="FM2" s="2855"/>
      <c r="FN2" s="2855"/>
      <c r="FO2" s="2855"/>
      <c r="FP2" s="2855"/>
      <c r="FQ2" s="2855"/>
      <c r="FR2" s="2855"/>
      <c r="FS2" s="2855"/>
      <c r="FT2" s="2855"/>
      <c r="FU2" s="2855"/>
      <c r="FV2" s="2855"/>
      <c r="FW2" s="2855"/>
      <c r="FX2" s="2855"/>
      <c r="FY2" s="2855"/>
      <c r="FZ2" s="2855"/>
      <c r="GA2" s="2855"/>
      <c r="GB2" s="2855"/>
      <c r="GC2" s="2855"/>
      <c r="GD2" s="2855"/>
      <c r="GE2" s="2855"/>
      <c r="GF2" s="2855"/>
      <c r="GG2" s="2855"/>
      <c r="GH2" s="2855"/>
      <c r="GI2" s="2855"/>
      <c r="GJ2" s="2855"/>
      <c r="GK2" s="2855"/>
      <c r="GL2" s="2855"/>
      <c r="GM2" s="2855"/>
      <c r="GN2" s="2855"/>
      <c r="GO2" s="2855"/>
      <c r="GP2" s="2855"/>
      <c r="GQ2" s="2855"/>
      <c r="GR2" s="2855"/>
      <c r="GS2" s="2855"/>
      <c r="GT2" s="2855"/>
      <c r="GU2" s="2855"/>
      <c r="GV2" s="2855"/>
      <c r="GW2" s="2855"/>
      <c r="GX2" s="2855"/>
      <c r="GY2" s="2855"/>
      <c r="GZ2" s="2855"/>
      <c r="HA2" s="2855"/>
      <c r="HB2" s="2855"/>
      <c r="HC2" s="2855"/>
      <c r="HD2" s="2855"/>
      <c r="HE2" s="2855"/>
      <c r="HF2" s="2855"/>
      <c r="HG2" s="2855"/>
      <c r="HH2" s="2855"/>
      <c r="HI2" s="2855"/>
      <c r="HJ2" s="2855"/>
      <c r="HK2" s="2855"/>
      <c r="HL2" s="2855"/>
      <c r="HM2" s="2855"/>
      <c r="HN2" s="2855"/>
      <c r="HO2" s="2855"/>
      <c r="HP2" s="2855"/>
      <c r="HQ2" s="2855"/>
      <c r="HR2" s="2855"/>
      <c r="HS2" s="2855"/>
      <c r="HT2" s="2855"/>
      <c r="HU2" s="2855"/>
      <c r="HV2" s="2855"/>
      <c r="HW2" s="2855"/>
      <c r="HX2" s="2855"/>
      <c r="HY2" s="2855"/>
      <c r="HZ2" s="2855"/>
      <c r="IA2" s="2855"/>
      <c r="IB2" s="2855"/>
      <c r="IC2" s="2855"/>
      <c r="ID2" s="2855"/>
      <c r="IE2" s="2855"/>
      <c r="IF2" s="2855"/>
      <c r="IG2" s="2855"/>
      <c r="IH2" s="2855"/>
      <c r="II2" s="2855"/>
      <c r="IJ2" s="2855"/>
      <c r="IK2" s="2855"/>
      <c r="IL2" s="2855"/>
      <c r="IM2" s="2855"/>
      <c r="IN2" s="2855"/>
      <c r="IO2" s="2855"/>
      <c r="IP2" s="2855"/>
      <c r="IQ2" s="2855"/>
      <c r="IR2" s="2855"/>
      <c r="IS2" s="2855"/>
      <c r="IT2" s="2855"/>
      <c r="IU2" s="2855"/>
      <c r="IV2" s="2855"/>
      <c r="IW2" s="2855"/>
    </row>
    <row r="3" spans="1:257" s="2911" customFormat="1">
      <c r="A3" s="2856"/>
      <c r="B3" s="2915" t="s">
        <v>2820</v>
      </c>
      <c r="C3" s="2917">
        <f>'数据-取费表'!B19</f>
        <v>0</v>
      </c>
      <c r="D3" s="2915" t="s">
        <v>2788</v>
      </c>
      <c r="E3" s="2918">
        <f ca="1">INDIRECT("J"&amp;$J$1)/100</f>
        <v>0</v>
      </c>
      <c r="G3" s="2857" t="s">
        <v>2791</v>
      </c>
      <c r="H3" s="2858">
        <v>0</v>
      </c>
      <c r="I3" s="2859">
        <f ca="1">INDIRECT("d"&amp;$H$1)</f>
        <v>4.3499999999999996</v>
      </c>
      <c r="J3" s="2859">
        <f ca="1">INDIRECT("d"&amp;$H$1)</f>
        <v>4.3499999999999996</v>
      </c>
      <c r="K3" s="2856"/>
      <c r="L3" s="2856"/>
      <c r="M3" s="2860">
        <v>0.5</v>
      </c>
      <c r="N3" s="2861">
        <f ca="1">INDIRECT("p"&amp;$N$1)</f>
        <v>1.3</v>
      </c>
      <c r="O3" s="2856"/>
      <c r="P3" s="2856"/>
      <c r="Q3" s="2856"/>
      <c r="R3" s="2856"/>
      <c r="S3" s="2856"/>
      <c r="T3" s="2856"/>
      <c r="U3" s="2856"/>
      <c r="V3" s="2856"/>
      <c r="W3" s="2856"/>
      <c r="X3" s="2856"/>
      <c r="Y3" s="2856"/>
      <c r="Z3" s="2856"/>
      <c r="AA3" s="2856"/>
      <c r="AB3" s="2856"/>
      <c r="AC3" s="2856"/>
      <c r="AD3" s="2856"/>
      <c r="AE3" s="2856"/>
      <c r="AF3" s="2856"/>
      <c r="AG3" s="2856"/>
      <c r="AH3" s="2856"/>
      <c r="AI3" s="2856"/>
      <c r="AJ3" s="2856"/>
      <c r="AK3" s="2856"/>
      <c r="AL3" s="2856"/>
      <c r="AM3" s="2856"/>
      <c r="AN3" s="2856"/>
      <c r="AO3" s="2856"/>
      <c r="AP3" s="2856"/>
      <c r="AQ3" s="2856"/>
      <c r="AR3" s="2856"/>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c r="BP3" s="2856"/>
      <c r="BQ3" s="2856"/>
      <c r="BR3" s="2856"/>
      <c r="BS3" s="2856"/>
      <c r="BT3" s="2856"/>
      <c r="BU3" s="2856"/>
      <c r="BV3" s="2856"/>
      <c r="BW3" s="2856"/>
      <c r="BX3" s="2856"/>
      <c r="BY3" s="2856"/>
      <c r="BZ3" s="2856"/>
      <c r="CA3" s="2856"/>
      <c r="CB3" s="2856"/>
      <c r="CC3" s="2856"/>
      <c r="CD3" s="2856"/>
      <c r="CE3" s="2856"/>
      <c r="CF3" s="2856"/>
      <c r="CG3" s="2856"/>
      <c r="CH3" s="2856"/>
      <c r="CI3" s="2856"/>
      <c r="CJ3" s="2856"/>
      <c r="CK3" s="2856"/>
      <c r="CL3" s="2856"/>
      <c r="CM3" s="2856"/>
      <c r="CN3" s="2856"/>
      <c r="CO3" s="2856"/>
      <c r="CP3" s="2856"/>
      <c r="CQ3" s="2856"/>
      <c r="CR3" s="2856"/>
      <c r="CS3" s="2856"/>
      <c r="CT3" s="2856"/>
      <c r="CU3" s="2856"/>
      <c r="CV3" s="2856"/>
      <c r="CW3" s="2856"/>
      <c r="CX3" s="2856"/>
      <c r="CY3" s="2856"/>
      <c r="CZ3" s="2856"/>
      <c r="DA3" s="2856"/>
      <c r="DB3" s="2856"/>
      <c r="DC3" s="2856"/>
      <c r="DD3" s="2856"/>
      <c r="DE3" s="2856"/>
      <c r="DF3" s="2856"/>
      <c r="DG3" s="2856"/>
      <c r="DH3" s="2856"/>
      <c r="DI3" s="2856"/>
      <c r="DJ3" s="2856"/>
      <c r="DK3" s="2856"/>
      <c r="DL3" s="2856"/>
      <c r="DM3" s="2856"/>
      <c r="DN3" s="2856"/>
      <c r="DO3" s="2856"/>
      <c r="DP3" s="2856"/>
      <c r="DQ3" s="2856"/>
      <c r="DR3" s="2856"/>
      <c r="DS3" s="2856"/>
      <c r="DT3" s="2856"/>
      <c r="DU3" s="2856"/>
      <c r="DV3" s="2856"/>
      <c r="DW3" s="2856"/>
      <c r="DX3" s="2856"/>
      <c r="DY3" s="2856"/>
      <c r="DZ3" s="2856"/>
      <c r="EA3" s="2856"/>
      <c r="EB3" s="2856"/>
      <c r="EC3" s="2856"/>
      <c r="ED3" s="2856"/>
      <c r="EE3" s="2856"/>
      <c r="EF3" s="2856"/>
      <c r="EG3" s="2856"/>
      <c r="EH3" s="2856"/>
      <c r="EI3" s="2856"/>
      <c r="EJ3" s="2856"/>
      <c r="EK3" s="2856"/>
      <c r="EL3" s="2856"/>
      <c r="EM3" s="2856"/>
      <c r="EN3" s="2856"/>
      <c r="EO3" s="2856"/>
      <c r="EP3" s="2856"/>
      <c r="EQ3" s="2856"/>
      <c r="ER3" s="2856"/>
      <c r="ES3" s="2856"/>
      <c r="ET3" s="2856"/>
      <c r="EU3" s="2856"/>
      <c r="EV3" s="2856"/>
      <c r="EW3" s="2856"/>
      <c r="EX3" s="2856"/>
      <c r="EY3" s="2856"/>
      <c r="EZ3" s="2856"/>
      <c r="FA3" s="2856"/>
      <c r="FB3" s="2856"/>
      <c r="FC3" s="2856"/>
      <c r="FD3" s="2856"/>
      <c r="FE3" s="2856"/>
      <c r="FF3" s="2856"/>
      <c r="FG3" s="2856"/>
      <c r="FH3" s="2856"/>
      <c r="FI3" s="2856"/>
      <c r="FJ3" s="2856"/>
      <c r="FK3" s="2856"/>
      <c r="FL3" s="2856"/>
      <c r="FM3" s="2856"/>
      <c r="FN3" s="2856"/>
      <c r="FO3" s="2856"/>
      <c r="FP3" s="2856"/>
      <c r="FQ3" s="2856"/>
      <c r="FR3" s="2856"/>
      <c r="FS3" s="2856"/>
      <c r="FT3" s="2856"/>
      <c r="FU3" s="2856"/>
      <c r="FV3" s="2856"/>
      <c r="FW3" s="2856"/>
      <c r="FX3" s="2856"/>
      <c r="FY3" s="2856"/>
      <c r="FZ3" s="2856"/>
      <c r="GA3" s="2856"/>
      <c r="GB3" s="2856"/>
      <c r="GC3" s="2856"/>
      <c r="GD3" s="2856"/>
      <c r="GE3" s="2856"/>
      <c r="GF3" s="2856"/>
      <c r="GG3" s="2856"/>
      <c r="GH3" s="2856"/>
      <c r="GI3" s="2856"/>
      <c r="GJ3" s="2856"/>
      <c r="GK3" s="2856"/>
      <c r="GL3" s="2856"/>
      <c r="GM3" s="2856"/>
      <c r="GN3" s="2856"/>
      <c r="GO3" s="2856"/>
      <c r="GP3" s="2856"/>
      <c r="GQ3" s="2856"/>
      <c r="GR3" s="2856"/>
      <c r="GS3" s="2856"/>
      <c r="GT3" s="2856"/>
      <c r="GU3" s="2856"/>
      <c r="GV3" s="2856"/>
      <c r="GW3" s="2856"/>
      <c r="GX3" s="2856"/>
      <c r="GY3" s="2856"/>
      <c r="GZ3" s="2856"/>
      <c r="HA3" s="2856"/>
      <c r="HB3" s="2856"/>
      <c r="HC3" s="2856"/>
      <c r="HD3" s="2856"/>
      <c r="HE3" s="2856"/>
      <c r="HF3" s="2856"/>
      <c r="HG3" s="2856"/>
      <c r="HH3" s="2856"/>
      <c r="HI3" s="2856"/>
      <c r="HJ3" s="2856"/>
      <c r="HK3" s="2856"/>
      <c r="HL3" s="2856"/>
      <c r="HM3" s="2856"/>
      <c r="HN3" s="2856"/>
      <c r="HO3" s="2856"/>
      <c r="HP3" s="2856"/>
      <c r="HQ3" s="2856"/>
      <c r="HR3" s="2856"/>
      <c r="HS3" s="2856"/>
      <c r="HT3" s="2856"/>
      <c r="HU3" s="2856"/>
      <c r="HV3" s="2856"/>
      <c r="HW3" s="2856"/>
      <c r="HX3" s="2856"/>
      <c r="HY3" s="2856"/>
      <c r="HZ3" s="2856"/>
      <c r="IA3" s="2856"/>
      <c r="IB3" s="2856"/>
      <c r="IC3" s="2856"/>
      <c r="ID3" s="2856"/>
      <c r="IE3" s="2856"/>
      <c r="IF3" s="2856"/>
      <c r="IG3" s="2856"/>
      <c r="IH3" s="2856"/>
      <c r="II3" s="2856"/>
      <c r="IJ3" s="2856"/>
      <c r="IK3" s="2856"/>
      <c r="IL3" s="2856"/>
      <c r="IM3" s="2856"/>
      <c r="IN3" s="2856"/>
      <c r="IO3" s="2856"/>
      <c r="IP3" s="2856"/>
      <c r="IQ3" s="2856"/>
      <c r="IR3" s="2856"/>
      <c r="IS3" s="2856"/>
      <c r="IT3" s="2856"/>
      <c r="IU3" s="2856"/>
      <c r="IV3" s="2856"/>
    </row>
    <row r="4" spans="1:257" s="2911" customFormat="1">
      <c r="A4" s="2856"/>
      <c r="B4" s="2915" t="s">
        <v>2819</v>
      </c>
      <c r="C4" s="2918">
        <f ca="1">N4/100</f>
        <v>1.4999999999999999E-2</v>
      </c>
      <c r="G4" s="2863" t="s">
        <v>2792</v>
      </c>
      <c r="H4" s="2864">
        <v>0.5</v>
      </c>
      <c r="I4" s="2865">
        <f ca="1">INDIRECT("e"&amp;$H$1)</f>
        <v>4.3499999999999996</v>
      </c>
      <c r="J4" s="2865">
        <f ca="1">INDIRECT("e"&amp;$H$1)</f>
        <v>4.3499999999999996</v>
      </c>
      <c r="K4" s="2856"/>
      <c r="L4" s="2856"/>
      <c r="M4" s="2866">
        <v>1</v>
      </c>
      <c r="N4" s="2867">
        <f ca="1">INDIRECT("q"&amp;$N$1)</f>
        <v>1.5</v>
      </c>
      <c r="O4" s="2856"/>
      <c r="P4" s="2856"/>
      <c r="Q4" s="2856"/>
      <c r="R4" s="2856"/>
      <c r="S4" s="2856"/>
      <c r="T4" s="2856"/>
      <c r="U4" s="2856"/>
      <c r="V4" s="2856"/>
      <c r="W4" s="2856"/>
      <c r="X4" s="2856"/>
      <c r="Y4" s="2856"/>
      <c r="Z4" s="2856"/>
      <c r="AA4" s="2856"/>
      <c r="AB4" s="2856"/>
      <c r="AC4" s="2856"/>
      <c r="AD4" s="2856"/>
      <c r="AE4" s="2856"/>
      <c r="AF4" s="2856"/>
      <c r="AG4" s="2856"/>
      <c r="AH4" s="2856"/>
      <c r="AI4" s="2856"/>
      <c r="AJ4" s="2856"/>
      <c r="AK4" s="2856"/>
      <c r="AL4" s="2856"/>
      <c r="AM4" s="2856"/>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c r="BY4" s="2856"/>
      <c r="BZ4" s="2856"/>
      <c r="CA4" s="2856"/>
      <c r="CB4" s="2856"/>
      <c r="CC4" s="2856"/>
      <c r="CD4" s="2856"/>
      <c r="CE4" s="2856"/>
      <c r="CF4" s="2856"/>
      <c r="CG4" s="2856"/>
      <c r="CH4" s="2856"/>
      <c r="CI4" s="2856"/>
      <c r="CJ4" s="2856"/>
      <c r="CK4" s="2856"/>
      <c r="CL4" s="2856"/>
      <c r="CM4" s="2856"/>
      <c r="CN4" s="2856"/>
      <c r="CO4" s="2856"/>
      <c r="CP4" s="2856"/>
      <c r="CQ4" s="2856"/>
      <c r="CR4" s="2856"/>
      <c r="CS4" s="2856"/>
      <c r="CT4" s="2856"/>
      <c r="CU4" s="2856"/>
      <c r="CV4" s="2856"/>
      <c r="CW4" s="2856"/>
      <c r="CX4" s="2856"/>
      <c r="CY4" s="2856"/>
      <c r="CZ4" s="2856"/>
      <c r="DA4" s="2856"/>
      <c r="DB4" s="2856"/>
      <c r="DC4" s="2856"/>
      <c r="DD4" s="2856"/>
      <c r="DE4" s="2856"/>
      <c r="DF4" s="2856"/>
      <c r="DG4" s="2856"/>
      <c r="DH4" s="2856"/>
      <c r="DI4" s="2856"/>
      <c r="DJ4" s="2856"/>
      <c r="DK4" s="2856"/>
      <c r="DL4" s="2856"/>
      <c r="DM4" s="2856"/>
      <c r="DN4" s="2856"/>
      <c r="DO4" s="2856"/>
      <c r="DP4" s="2856"/>
      <c r="DQ4" s="2856"/>
      <c r="DR4" s="2856"/>
      <c r="DS4" s="2856"/>
      <c r="DT4" s="2856"/>
      <c r="DU4" s="2856"/>
      <c r="DV4" s="2856"/>
      <c r="DW4" s="2856"/>
      <c r="DX4" s="2856"/>
      <c r="DY4" s="2856"/>
      <c r="DZ4" s="2856"/>
      <c r="EA4" s="2856"/>
      <c r="EB4" s="2856"/>
      <c r="EC4" s="2856"/>
      <c r="ED4" s="2856"/>
      <c r="EE4" s="2856"/>
      <c r="EF4" s="2856"/>
      <c r="EG4" s="2856"/>
      <c r="EH4" s="2856"/>
      <c r="EI4" s="2856"/>
      <c r="EJ4" s="2856"/>
      <c r="EK4" s="2856"/>
      <c r="EL4" s="2856"/>
      <c r="EM4" s="2856"/>
      <c r="EN4" s="2856"/>
      <c r="EO4" s="2856"/>
      <c r="EP4" s="2856"/>
      <c r="EQ4" s="2856"/>
      <c r="ER4" s="2856"/>
      <c r="ES4" s="2856"/>
      <c r="ET4" s="2856"/>
      <c r="EU4" s="2856"/>
      <c r="EV4" s="2856"/>
      <c r="EW4" s="2856"/>
      <c r="EX4" s="2856"/>
      <c r="EY4" s="2856"/>
      <c r="EZ4" s="2856"/>
      <c r="FA4" s="2856"/>
      <c r="FB4" s="2856"/>
      <c r="FC4" s="2856"/>
      <c r="FD4" s="2856"/>
      <c r="FE4" s="2856"/>
      <c r="FF4" s="2856"/>
      <c r="FG4" s="2856"/>
      <c r="FH4" s="2856"/>
      <c r="FI4" s="2856"/>
      <c r="FJ4" s="2856"/>
      <c r="FK4" s="2856"/>
      <c r="FL4" s="2856"/>
      <c r="FM4" s="2856"/>
      <c r="FN4" s="2856"/>
      <c r="FO4" s="2856"/>
      <c r="FP4" s="2856"/>
      <c r="FQ4" s="2856"/>
      <c r="FR4" s="2856"/>
      <c r="FS4" s="2856"/>
      <c r="FT4" s="2856"/>
      <c r="FU4" s="2856"/>
      <c r="FV4" s="2856"/>
      <c r="FW4" s="2856"/>
      <c r="FX4" s="2856"/>
      <c r="FY4" s="2856"/>
      <c r="FZ4" s="2856"/>
      <c r="GA4" s="2856"/>
      <c r="GB4" s="2856"/>
      <c r="GC4" s="2856"/>
      <c r="GD4" s="2856"/>
      <c r="GE4" s="2856"/>
      <c r="GF4" s="2856"/>
      <c r="GG4" s="2856"/>
      <c r="GH4" s="2856"/>
      <c r="GI4" s="2856"/>
      <c r="GJ4" s="2856"/>
      <c r="GK4" s="2856"/>
      <c r="GL4" s="2856"/>
      <c r="GM4" s="2856"/>
      <c r="GN4" s="2856"/>
      <c r="GO4" s="2856"/>
      <c r="GP4" s="2856"/>
      <c r="GQ4" s="2856"/>
      <c r="GR4" s="2856"/>
      <c r="GS4" s="2856"/>
      <c r="GT4" s="2856"/>
      <c r="GU4" s="2856"/>
      <c r="GV4" s="2856"/>
      <c r="GW4" s="2856"/>
      <c r="GX4" s="2856"/>
      <c r="GY4" s="2856"/>
      <c r="GZ4" s="2856"/>
      <c r="HA4" s="2856"/>
      <c r="HB4" s="2856"/>
      <c r="HC4" s="2856"/>
      <c r="HD4" s="2856"/>
      <c r="HE4" s="2856"/>
      <c r="HF4" s="2856"/>
      <c r="HG4" s="2856"/>
      <c r="HH4" s="2856"/>
      <c r="HI4" s="2856"/>
      <c r="HJ4" s="2856"/>
      <c r="HK4" s="2856"/>
      <c r="HL4" s="2856"/>
      <c r="HM4" s="2856"/>
      <c r="HN4" s="2856"/>
      <c r="HO4" s="2856"/>
      <c r="HP4" s="2856"/>
      <c r="HQ4" s="2856"/>
      <c r="HR4" s="2856"/>
      <c r="HS4" s="2856"/>
      <c r="HT4" s="2856"/>
      <c r="HU4" s="2856"/>
      <c r="HV4" s="2856"/>
      <c r="HW4" s="2856"/>
      <c r="HX4" s="2856"/>
      <c r="HY4" s="2856"/>
      <c r="HZ4" s="2856"/>
      <c r="IA4" s="2856"/>
      <c r="IB4" s="2856"/>
      <c r="IC4" s="2856"/>
      <c r="ID4" s="2856"/>
      <c r="IE4" s="2856"/>
      <c r="IF4" s="2856"/>
      <c r="IG4" s="2856"/>
      <c r="IH4" s="2856"/>
      <c r="II4" s="2856"/>
      <c r="IJ4" s="2856"/>
      <c r="IK4" s="2856"/>
      <c r="IL4" s="2856"/>
      <c r="IM4" s="2856"/>
      <c r="IN4" s="2856"/>
      <c r="IO4" s="2856"/>
      <c r="IP4" s="2856"/>
      <c r="IQ4" s="2856"/>
      <c r="IR4" s="2856"/>
      <c r="IS4" s="2856"/>
      <c r="IT4" s="2856"/>
      <c r="IU4" s="2856"/>
      <c r="IV4" s="2856"/>
    </row>
    <row r="5" spans="1:257" s="2911" customFormat="1">
      <c r="A5" s="2856"/>
      <c r="G5" s="2863" t="s">
        <v>2793</v>
      </c>
      <c r="H5" s="2864">
        <v>1</v>
      </c>
      <c r="I5" s="2865">
        <f ca="1">INDIRECT("f"&amp;$H$1)</f>
        <v>4.75</v>
      </c>
      <c r="J5" s="2865">
        <f ca="1">INDIRECT("f"&amp;$H$1)</f>
        <v>4.75</v>
      </c>
      <c r="K5" s="2856"/>
      <c r="L5" s="2856"/>
      <c r="M5" s="2866">
        <v>2</v>
      </c>
      <c r="N5" s="2867">
        <f ca="1">INDIRECT("r"&amp;$N$1)</f>
        <v>2.1</v>
      </c>
      <c r="O5" s="2856"/>
      <c r="P5" s="2856"/>
      <c r="Q5" s="2856"/>
      <c r="R5" s="2856"/>
      <c r="S5" s="2856"/>
      <c r="T5" s="2856"/>
      <c r="U5" s="2856"/>
      <c r="V5" s="2856"/>
      <c r="W5" s="2856"/>
      <c r="X5" s="2856"/>
      <c r="Y5" s="2856"/>
      <c r="Z5" s="2856"/>
      <c r="AA5" s="2856"/>
      <c r="AB5" s="2856"/>
      <c r="AC5" s="2856"/>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c r="BP5" s="2856"/>
      <c r="BQ5" s="2856"/>
      <c r="BR5" s="2856"/>
      <c r="BS5" s="2856"/>
      <c r="BT5" s="2856"/>
      <c r="BU5" s="2856"/>
      <c r="BV5" s="2856"/>
      <c r="BW5" s="2856"/>
      <c r="BX5" s="2856"/>
      <c r="BY5" s="2856"/>
      <c r="BZ5" s="2856"/>
      <c r="CA5" s="2856"/>
      <c r="CB5" s="2856"/>
      <c r="CC5" s="2856"/>
      <c r="CD5" s="2856"/>
      <c r="CE5" s="2856"/>
      <c r="CF5" s="2856"/>
      <c r="CG5" s="2856"/>
      <c r="CH5" s="2856"/>
      <c r="CI5" s="2856"/>
      <c r="CJ5" s="2856"/>
      <c r="CK5" s="2856"/>
      <c r="CL5" s="2856"/>
      <c r="CM5" s="2856"/>
      <c r="CN5" s="2856"/>
      <c r="CO5" s="2856"/>
      <c r="CP5" s="2856"/>
      <c r="CQ5" s="2856"/>
      <c r="CR5" s="2856"/>
      <c r="CS5" s="2856"/>
      <c r="CT5" s="2856"/>
      <c r="CU5" s="2856"/>
      <c r="CV5" s="2856"/>
      <c r="CW5" s="2856"/>
      <c r="CX5" s="2856"/>
      <c r="CY5" s="2856"/>
      <c r="CZ5" s="2856"/>
      <c r="DA5" s="2856"/>
      <c r="DB5" s="2856"/>
      <c r="DC5" s="2856"/>
      <c r="DD5" s="2856"/>
      <c r="DE5" s="2856"/>
      <c r="DF5" s="2856"/>
      <c r="DG5" s="2856"/>
      <c r="DH5" s="2856"/>
      <c r="DI5" s="2856"/>
      <c r="DJ5" s="2856"/>
      <c r="DK5" s="2856"/>
      <c r="DL5" s="2856"/>
      <c r="DM5" s="2856"/>
      <c r="DN5" s="2856"/>
      <c r="DO5" s="2856"/>
      <c r="DP5" s="2856"/>
      <c r="DQ5" s="2856"/>
      <c r="DR5" s="2856"/>
      <c r="DS5" s="2856"/>
      <c r="DT5" s="2856"/>
      <c r="DU5" s="2856"/>
      <c r="DV5" s="2856"/>
      <c r="DW5" s="2856"/>
      <c r="DX5" s="2856"/>
      <c r="DY5" s="2856"/>
      <c r="DZ5" s="2856"/>
      <c r="EA5" s="2856"/>
      <c r="EB5" s="2856"/>
      <c r="EC5" s="2856"/>
      <c r="ED5" s="2856"/>
      <c r="EE5" s="2856"/>
      <c r="EF5" s="2856"/>
      <c r="EG5" s="2856"/>
      <c r="EH5" s="2856"/>
      <c r="EI5" s="2856"/>
      <c r="EJ5" s="2856"/>
      <c r="EK5" s="2856"/>
      <c r="EL5" s="2856"/>
      <c r="EM5" s="2856"/>
      <c r="EN5" s="2856"/>
      <c r="EO5" s="2856"/>
      <c r="EP5" s="2856"/>
      <c r="EQ5" s="2856"/>
      <c r="ER5" s="2856"/>
      <c r="ES5" s="2856"/>
      <c r="ET5" s="2856"/>
      <c r="EU5" s="2856"/>
      <c r="EV5" s="2856"/>
      <c r="EW5" s="2856"/>
      <c r="EX5" s="2856"/>
      <c r="EY5" s="2856"/>
      <c r="EZ5" s="2856"/>
      <c r="FA5" s="2856"/>
      <c r="FB5" s="2856"/>
      <c r="FC5" s="2856"/>
      <c r="FD5" s="2856"/>
      <c r="FE5" s="2856"/>
      <c r="FF5" s="2856"/>
      <c r="FG5" s="2856"/>
      <c r="FH5" s="2856"/>
      <c r="FI5" s="2856"/>
      <c r="FJ5" s="2856"/>
      <c r="FK5" s="2856"/>
      <c r="FL5" s="2856"/>
      <c r="FM5" s="2856"/>
      <c r="FN5" s="2856"/>
      <c r="FO5" s="2856"/>
      <c r="FP5" s="2856"/>
      <c r="FQ5" s="2856"/>
      <c r="FR5" s="2856"/>
      <c r="FS5" s="2856"/>
      <c r="FT5" s="2856"/>
      <c r="FU5" s="2856"/>
      <c r="FV5" s="2856"/>
      <c r="FW5" s="2856"/>
      <c r="FX5" s="2856"/>
      <c r="FY5" s="2856"/>
      <c r="FZ5" s="2856"/>
      <c r="GA5" s="2856"/>
      <c r="GB5" s="2856"/>
      <c r="GC5" s="2856"/>
      <c r="GD5" s="2856"/>
      <c r="GE5" s="2856"/>
      <c r="GF5" s="2856"/>
      <c r="GG5" s="2856"/>
      <c r="GH5" s="2856"/>
      <c r="GI5" s="2856"/>
      <c r="GJ5" s="2856"/>
      <c r="GK5" s="2856"/>
      <c r="GL5" s="2856"/>
      <c r="GM5" s="2856"/>
      <c r="GN5" s="2856"/>
      <c r="GO5" s="2856"/>
      <c r="GP5" s="2856"/>
      <c r="GQ5" s="2856"/>
      <c r="GR5" s="2856"/>
      <c r="GS5" s="2856"/>
      <c r="GT5" s="2856"/>
      <c r="GU5" s="2856"/>
      <c r="GV5" s="2856"/>
      <c r="GW5" s="2856"/>
      <c r="GX5" s="2856"/>
      <c r="GY5" s="2856"/>
      <c r="GZ5" s="2856"/>
      <c r="HA5" s="2856"/>
      <c r="HB5" s="2856"/>
      <c r="HC5" s="2856"/>
      <c r="HD5" s="2856"/>
      <c r="HE5" s="2856"/>
      <c r="HF5" s="2856"/>
      <c r="HG5" s="2856"/>
      <c r="HH5" s="2856"/>
      <c r="HI5" s="2856"/>
      <c r="HJ5" s="2856"/>
      <c r="HK5" s="2856"/>
      <c r="HL5" s="2856"/>
      <c r="HM5" s="2856"/>
      <c r="HN5" s="2856"/>
      <c r="HO5" s="2856"/>
      <c r="HP5" s="2856"/>
      <c r="HQ5" s="2856"/>
      <c r="HR5" s="2856"/>
      <c r="HS5" s="2856"/>
      <c r="HT5" s="2856"/>
      <c r="HU5" s="2856"/>
      <c r="HV5" s="2856"/>
      <c r="HW5" s="2856"/>
      <c r="HX5" s="2856"/>
      <c r="HY5" s="2856"/>
      <c r="HZ5" s="2856"/>
      <c r="IA5" s="2856"/>
      <c r="IB5" s="2856"/>
      <c r="IC5" s="2856"/>
      <c r="ID5" s="2856"/>
      <c r="IE5" s="2856"/>
      <c r="IF5" s="2856"/>
      <c r="IG5" s="2856"/>
      <c r="IH5" s="2856"/>
      <c r="II5" s="2856"/>
      <c r="IJ5" s="2856"/>
      <c r="IK5" s="2856"/>
      <c r="IL5" s="2856"/>
      <c r="IM5" s="2856"/>
      <c r="IN5" s="2856"/>
      <c r="IO5" s="2856"/>
      <c r="IP5" s="2856"/>
      <c r="IQ5" s="2856"/>
      <c r="IR5" s="2856"/>
      <c r="IS5" s="2856"/>
      <c r="IT5" s="2856"/>
      <c r="IU5" s="2856"/>
      <c r="IV5" s="2856"/>
    </row>
    <row r="6" spans="1:257" s="2911" customFormat="1">
      <c r="A6" s="2856"/>
      <c r="G6" s="2863" t="s">
        <v>2794</v>
      </c>
      <c r="H6" s="2864">
        <v>3</v>
      </c>
      <c r="I6" s="2865">
        <f ca="1">INDIRECT("g"&amp;$H$1)</f>
        <v>4.75</v>
      </c>
      <c r="J6" s="2865">
        <f ca="1">INDIRECT("g"&amp;$H$1)</f>
        <v>4.75</v>
      </c>
      <c r="K6" s="2856"/>
      <c r="L6" s="2856"/>
      <c r="M6" s="2866">
        <v>3</v>
      </c>
      <c r="N6" s="2867">
        <f ca="1">INDIRECT("s"&amp;$N$1)</f>
        <v>2.75</v>
      </c>
      <c r="O6" s="2856"/>
      <c r="P6" s="2856"/>
      <c r="Q6" s="2856"/>
      <c r="R6" s="2856"/>
      <c r="S6" s="2856"/>
      <c r="T6" s="2856"/>
      <c r="U6" s="2856"/>
      <c r="V6" s="2856"/>
      <c r="W6" s="2856"/>
      <c r="X6" s="2856"/>
      <c r="Y6" s="2856"/>
      <c r="Z6" s="2856"/>
      <c r="AA6" s="2856"/>
      <c r="AB6" s="2856"/>
      <c r="AC6" s="2856"/>
      <c r="AD6" s="2856"/>
      <c r="AE6" s="2856"/>
      <c r="AF6" s="2856"/>
      <c r="AG6" s="2856"/>
      <c r="AH6" s="2856"/>
      <c r="AI6" s="2856"/>
      <c r="AJ6" s="2856"/>
      <c r="AK6" s="2856"/>
      <c r="AL6" s="2856"/>
      <c r="AM6" s="2856"/>
      <c r="AN6" s="2856"/>
      <c r="AO6" s="2856"/>
      <c r="AP6" s="2856"/>
      <c r="AQ6" s="2856"/>
      <c r="AR6" s="2856"/>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c r="BP6" s="2856"/>
      <c r="BQ6" s="2856"/>
      <c r="BR6" s="2856"/>
      <c r="BS6" s="2856"/>
      <c r="BT6" s="2856"/>
      <c r="BU6" s="2856"/>
      <c r="BV6" s="2856"/>
      <c r="BW6" s="2856"/>
      <c r="BX6" s="2856"/>
      <c r="BY6" s="2856"/>
      <c r="BZ6" s="2856"/>
      <c r="CA6" s="2856"/>
      <c r="CB6" s="2856"/>
      <c r="CC6" s="2856"/>
      <c r="CD6" s="2856"/>
      <c r="CE6" s="2856"/>
      <c r="CF6" s="2856"/>
      <c r="CG6" s="2856"/>
      <c r="CH6" s="2856"/>
      <c r="CI6" s="2856"/>
      <c r="CJ6" s="2856"/>
      <c r="CK6" s="2856"/>
      <c r="CL6" s="2856"/>
      <c r="CM6" s="2856"/>
      <c r="CN6" s="2856"/>
      <c r="CO6" s="2856"/>
      <c r="CP6" s="2856"/>
      <c r="CQ6" s="2856"/>
      <c r="CR6" s="2856"/>
      <c r="CS6" s="2856"/>
      <c r="CT6" s="2856"/>
      <c r="CU6" s="2856"/>
      <c r="CV6" s="2856"/>
      <c r="CW6" s="2856"/>
      <c r="CX6" s="2856"/>
      <c r="CY6" s="2856"/>
      <c r="CZ6" s="2856"/>
      <c r="DA6" s="2856"/>
      <c r="DB6" s="2856"/>
      <c r="DC6" s="2856"/>
      <c r="DD6" s="2856"/>
      <c r="DE6" s="2856"/>
      <c r="DF6" s="2856"/>
      <c r="DG6" s="2856"/>
      <c r="DH6" s="2856"/>
      <c r="DI6" s="2856"/>
      <c r="DJ6" s="2856"/>
      <c r="DK6" s="2856"/>
      <c r="DL6" s="2856"/>
      <c r="DM6" s="2856"/>
      <c r="DN6" s="2856"/>
      <c r="DO6" s="2856"/>
      <c r="DP6" s="2856"/>
      <c r="DQ6" s="2856"/>
      <c r="DR6" s="2856"/>
      <c r="DS6" s="2856"/>
      <c r="DT6" s="2856"/>
      <c r="DU6" s="2856"/>
      <c r="DV6" s="2856"/>
      <c r="DW6" s="2856"/>
      <c r="DX6" s="2856"/>
      <c r="DY6" s="2856"/>
      <c r="DZ6" s="2856"/>
      <c r="EA6" s="2856"/>
      <c r="EB6" s="2856"/>
      <c r="EC6" s="2856"/>
      <c r="ED6" s="2856"/>
      <c r="EE6" s="2856"/>
      <c r="EF6" s="2856"/>
      <c r="EG6" s="2856"/>
      <c r="EH6" s="2856"/>
      <c r="EI6" s="2856"/>
      <c r="EJ6" s="2856"/>
      <c r="EK6" s="2856"/>
      <c r="EL6" s="2856"/>
      <c r="EM6" s="2856"/>
      <c r="EN6" s="2856"/>
      <c r="EO6" s="2856"/>
      <c r="EP6" s="2856"/>
      <c r="EQ6" s="2856"/>
      <c r="ER6" s="2856"/>
      <c r="ES6" s="2856"/>
      <c r="ET6" s="2856"/>
      <c r="EU6" s="2856"/>
      <c r="EV6" s="2856"/>
      <c r="EW6" s="2856"/>
      <c r="EX6" s="2856"/>
      <c r="EY6" s="2856"/>
      <c r="EZ6" s="2856"/>
      <c r="FA6" s="2856"/>
      <c r="FB6" s="2856"/>
      <c r="FC6" s="2856"/>
      <c r="FD6" s="2856"/>
      <c r="FE6" s="2856"/>
      <c r="FF6" s="2856"/>
      <c r="FG6" s="2856"/>
      <c r="FH6" s="2856"/>
      <c r="FI6" s="2856"/>
      <c r="FJ6" s="2856"/>
      <c r="FK6" s="2856"/>
      <c r="FL6" s="2856"/>
      <c r="FM6" s="2856"/>
      <c r="FN6" s="2856"/>
      <c r="FO6" s="2856"/>
      <c r="FP6" s="2856"/>
      <c r="FQ6" s="2856"/>
      <c r="FR6" s="2856"/>
      <c r="FS6" s="2856"/>
      <c r="FT6" s="2856"/>
      <c r="FU6" s="2856"/>
      <c r="FV6" s="2856"/>
      <c r="FW6" s="2856"/>
      <c r="FX6" s="2856"/>
      <c r="FY6" s="2856"/>
      <c r="FZ6" s="2856"/>
      <c r="GA6" s="2856"/>
      <c r="GB6" s="2856"/>
      <c r="GC6" s="2856"/>
      <c r="GD6" s="2856"/>
      <c r="GE6" s="2856"/>
      <c r="GF6" s="2856"/>
      <c r="GG6" s="2856"/>
      <c r="GH6" s="2856"/>
      <c r="GI6" s="2856"/>
      <c r="GJ6" s="2856"/>
      <c r="GK6" s="2856"/>
      <c r="GL6" s="2856"/>
      <c r="GM6" s="2856"/>
      <c r="GN6" s="2856"/>
      <c r="GO6" s="2856"/>
      <c r="GP6" s="2856"/>
      <c r="GQ6" s="2856"/>
      <c r="GR6" s="2856"/>
      <c r="GS6" s="2856"/>
      <c r="GT6" s="2856"/>
      <c r="GU6" s="2856"/>
      <c r="GV6" s="2856"/>
      <c r="GW6" s="2856"/>
      <c r="GX6" s="2856"/>
      <c r="GY6" s="2856"/>
      <c r="GZ6" s="2856"/>
      <c r="HA6" s="2856"/>
      <c r="HB6" s="2856"/>
      <c r="HC6" s="2856"/>
      <c r="HD6" s="2856"/>
      <c r="HE6" s="2856"/>
      <c r="HF6" s="2856"/>
      <c r="HG6" s="2856"/>
      <c r="HH6" s="2856"/>
      <c r="HI6" s="2856"/>
      <c r="HJ6" s="2856"/>
      <c r="HK6" s="2856"/>
      <c r="HL6" s="2856"/>
      <c r="HM6" s="2856"/>
      <c r="HN6" s="2856"/>
      <c r="HO6" s="2856"/>
      <c r="HP6" s="2856"/>
      <c r="HQ6" s="2856"/>
      <c r="HR6" s="2856"/>
      <c r="HS6" s="2856"/>
      <c r="HT6" s="2856"/>
      <c r="HU6" s="2856"/>
      <c r="HV6" s="2856"/>
      <c r="HW6" s="2856"/>
      <c r="HX6" s="2856"/>
      <c r="HY6" s="2856"/>
      <c r="HZ6" s="2856"/>
      <c r="IA6" s="2856"/>
      <c r="IB6" s="2856"/>
      <c r="IC6" s="2856"/>
      <c r="ID6" s="2856"/>
      <c r="IE6" s="2856"/>
      <c r="IF6" s="2856"/>
      <c r="IG6" s="2856"/>
      <c r="IH6" s="2856"/>
      <c r="II6" s="2856"/>
      <c r="IJ6" s="2856"/>
      <c r="IK6" s="2856"/>
      <c r="IL6" s="2856"/>
      <c r="IM6" s="2856"/>
      <c r="IN6" s="2856"/>
      <c r="IO6" s="2856"/>
      <c r="IP6" s="2856"/>
      <c r="IQ6" s="2856"/>
      <c r="IR6" s="2856"/>
      <c r="IS6" s="2856"/>
      <c r="IT6" s="2856"/>
      <c r="IU6" s="2856"/>
      <c r="IV6" s="2856"/>
    </row>
    <row r="7" spans="1:257" s="2911" customFormat="1" ht="14.25" thickBot="1">
      <c r="A7" s="2856"/>
      <c r="G7" s="2868" t="s">
        <v>2795</v>
      </c>
      <c r="H7" s="2869">
        <v>5</v>
      </c>
      <c r="I7" s="2870">
        <f ca="1">INDIRECT("h"&amp;$H$1)</f>
        <v>4.9000000000000004</v>
      </c>
      <c r="J7" s="2870">
        <f ca="1">INDIRECT("h"&amp;$H$1)</f>
        <v>4.9000000000000004</v>
      </c>
      <c r="K7" s="2856"/>
      <c r="L7" s="2856"/>
      <c r="M7" s="2871">
        <v>5</v>
      </c>
      <c r="N7" s="2872">
        <f ca="1">INDIRECT("t"&amp;$N$1)</f>
        <v>0</v>
      </c>
      <c r="O7" s="2856"/>
      <c r="P7" s="2856"/>
      <c r="Q7" s="2856"/>
      <c r="R7" s="2856"/>
      <c r="S7" s="2856"/>
      <c r="T7" s="2856"/>
      <c r="U7" s="2856"/>
      <c r="V7" s="2856"/>
      <c r="W7" s="2856"/>
      <c r="X7" s="2856"/>
      <c r="Y7" s="2856"/>
      <c r="Z7" s="2856"/>
      <c r="AA7" s="2856"/>
      <c r="AB7" s="2856"/>
      <c r="AC7" s="2856"/>
      <c r="AD7" s="2856"/>
      <c r="AE7" s="2856"/>
      <c r="AF7" s="2856"/>
      <c r="AG7" s="2856"/>
      <c r="AH7" s="2856"/>
      <c r="AI7" s="2856"/>
      <c r="AJ7" s="2856"/>
      <c r="AK7" s="2856"/>
      <c r="AL7" s="2856"/>
      <c r="AM7" s="2856"/>
      <c r="AN7" s="2856"/>
      <c r="AO7" s="2856"/>
      <c r="AP7" s="2856"/>
      <c r="AQ7" s="2856"/>
      <c r="AR7" s="2856"/>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c r="BP7" s="2856"/>
      <c r="BQ7" s="2856"/>
      <c r="BR7" s="2856"/>
      <c r="BS7" s="2856"/>
      <c r="BT7" s="2856"/>
      <c r="BU7" s="2856"/>
      <c r="BV7" s="2856"/>
      <c r="BW7" s="2856"/>
      <c r="BX7" s="2856"/>
      <c r="BY7" s="2856"/>
      <c r="BZ7" s="2856"/>
      <c r="CA7" s="2856"/>
      <c r="CB7" s="2856"/>
      <c r="CC7" s="2856"/>
      <c r="CD7" s="2856"/>
      <c r="CE7" s="2856"/>
      <c r="CF7" s="2856"/>
      <c r="CG7" s="2856"/>
      <c r="CH7" s="2856"/>
      <c r="CI7" s="2856"/>
      <c r="CJ7" s="2856"/>
      <c r="CK7" s="2856"/>
      <c r="CL7" s="2856"/>
      <c r="CM7" s="2856"/>
      <c r="CN7" s="2856"/>
      <c r="CO7" s="2856"/>
      <c r="CP7" s="2856"/>
      <c r="CQ7" s="2856"/>
      <c r="CR7" s="2856"/>
      <c r="CS7" s="2856"/>
      <c r="CT7" s="2856"/>
      <c r="CU7" s="2856"/>
      <c r="CV7" s="2856"/>
      <c r="CW7" s="2856"/>
      <c r="CX7" s="2856"/>
      <c r="CY7" s="2856"/>
      <c r="CZ7" s="2856"/>
      <c r="DA7" s="2856"/>
      <c r="DB7" s="2856"/>
      <c r="DC7" s="2856"/>
      <c r="DD7" s="2856"/>
      <c r="DE7" s="2856"/>
      <c r="DF7" s="2856"/>
      <c r="DG7" s="2856"/>
      <c r="DH7" s="2856"/>
      <c r="DI7" s="2856"/>
      <c r="DJ7" s="2856"/>
      <c r="DK7" s="2856"/>
      <c r="DL7" s="2856"/>
      <c r="DM7" s="2856"/>
      <c r="DN7" s="2856"/>
      <c r="DO7" s="2856"/>
      <c r="DP7" s="2856"/>
      <c r="DQ7" s="2856"/>
      <c r="DR7" s="2856"/>
      <c r="DS7" s="2856"/>
      <c r="DT7" s="2856"/>
      <c r="DU7" s="2856"/>
      <c r="DV7" s="2856"/>
      <c r="DW7" s="2856"/>
      <c r="DX7" s="2856"/>
      <c r="DY7" s="2856"/>
      <c r="DZ7" s="2856"/>
      <c r="EA7" s="2856"/>
      <c r="EB7" s="2856"/>
      <c r="EC7" s="2856"/>
      <c r="ED7" s="2856"/>
      <c r="EE7" s="2856"/>
      <c r="EF7" s="2856"/>
      <c r="EG7" s="2856"/>
      <c r="EH7" s="2856"/>
      <c r="EI7" s="2856"/>
      <c r="EJ7" s="2856"/>
      <c r="EK7" s="2856"/>
      <c r="EL7" s="2856"/>
      <c r="EM7" s="2856"/>
      <c r="EN7" s="2856"/>
      <c r="EO7" s="2856"/>
      <c r="EP7" s="2856"/>
      <c r="EQ7" s="2856"/>
      <c r="ER7" s="2856"/>
      <c r="ES7" s="2856"/>
      <c r="ET7" s="2856"/>
      <c r="EU7" s="2856"/>
      <c r="EV7" s="2856"/>
      <c r="EW7" s="2856"/>
      <c r="EX7" s="2856"/>
      <c r="EY7" s="2856"/>
      <c r="EZ7" s="2856"/>
      <c r="FA7" s="2856"/>
      <c r="FB7" s="2856"/>
      <c r="FC7" s="2856"/>
      <c r="FD7" s="2856"/>
      <c r="FE7" s="2856"/>
      <c r="FF7" s="2856"/>
      <c r="FG7" s="2856"/>
      <c r="FH7" s="2856"/>
      <c r="FI7" s="2856"/>
      <c r="FJ7" s="2856"/>
      <c r="FK7" s="2856"/>
      <c r="FL7" s="2856"/>
      <c r="FM7" s="2856"/>
      <c r="FN7" s="2856"/>
      <c r="FO7" s="2856"/>
      <c r="FP7" s="2856"/>
      <c r="FQ7" s="2856"/>
      <c r="FR7" s="2856"/>
      <c r="FS7" s="2856"/>
      <c r="FT7" s="2856"/>
      <c r="FU7" s="2856"/>
      <c r="FV7" s="2856"/>
      <c r="FW7" s="2856"/>
      <c r="FX7" s="2856"/>
      <c r="FY7" s="2856"/>
      <c r="FZ7" s="2856"/>
      <c r="GA7" s="2856"/>
      <c r="GB7" s="2856"/>
      <c r="GC7" s="2856"/>
      <c r="GD7" s="2856"/>
      <c r="GE7" s="2856"/>
      <c r="GF7" s="2856"/>
      <c r="GG7" s="2856"/>
      <c r="GH7" s="2856"/>
      <c r="GI7" s="2856"/>
      <c r="GJ7" s="2856"/>
      <c r="GK7" s="2856"/>
      <c r="GL7" s="2856"/>
      <c r="GM7" s="2856"/>
      <c r="GN7" s="2856"/>
      <c r="GO7" s="2856"/>
      <c r="GP7" s="2856"/>
      <c r="GQ7" s="2856"/>
      <c r="GR7" s="2856"/>
      <c r="GS7" s="2856"/>
      <c r="GT7" s="2856"/>
      <c r="GU7" s="2856"/>
      <c r="GV7" s="2856"/>
      <c r="GW7" s="2856"/>
      <c r="GX7" s="2856"/>
      <c r="GY7" s="2856"/>
      <c r="GZ7" s="2856"/>
      <c r="HA7" s="2856"/>
      <c r="HB7" s="2856"/>
      <c r="HC7" s="2856"/>
      <c r="HD7" s="2856"/>
      <c r="HE7" s="2856"/>
      <c r="HF7" s="2856"/>
      <c r="HG7" s="2856"/>
      <c r="HH7" s="2856"/>
      <c r="HI7" s="2856"/>
      <c r="HJ7" s="2856"/>
      <c r="HK7" s="2856"/>
      <c r="HL7" s="2856"/>
      <c r="HM7" s="2856"/>
      <c r="HN7" s="2856"/>
      <c r="HO7" s="2856"/>
      <c r="HP7" s="2856"/>
      <c r="HQ7" s="2856"/>
      <c r="HR7" s="2856"/>
      <c r="HS7" s="2856"/>
      <c r="HT7" s="2856"/>
      <c r="HU7" s="2856"/>
      <c r="HV7" s="2856"/>
      <c r="HW7" s="2856"/>
      <c r="HX7" s="2856"/>
      <c r="HY7" s="2856"/>
      <c r="HZ7" s="2856"/>
      <c r="IA7" s="2856"/>
      <c r="IB7" s="2856"/>
      <c r="IC7" s="2856"/>
      <c r="ID7" s="2856"/>
      <c r="IE7" s="2856"/>
      <c r="IF7" s="2856"/>
      <c r="IG7" s="2856"/>
      <c r="IH7" s="2856"/>
      <c r="II7" s="2856"/>
      <c r="IJ7" s="2856"/>
      <c r="IK7" s="2856"/>
      <c r="IL7" s="2856"/>
      <c r="IM7" s="2856"/>
      <c r="IN7" s="2856"/>
      <c r="IO7" s="2856"/>
      <c r="IP7" s="2856"/>
      <c r="IQ7" s="2856"/>
      <c r="IR7" s="2856"/>
      <c r="IS7" s="2856"/>
      <c r="IT7" s="2856"/>
      <c r="IU7" s="2856"/>
      <c r="IV7" s="2856"/>
    </row>
    <row r="8" spans="1:257">
      <c r="A8" s="2873"/>
      <c r="B8" s="2874"/>
      <c r="C8" s="2875"/>
      <c r="D8" s="2856"/>
      <c r="E8" s="2856"/>
      <c r="F8" s="2856"/>
      <c r="G8" s="2856"/>
      <c r="H8" s="2856"/>
      <c r="I8" s="2856"/>
      <c r="J8" s="2856"/>
      <c r="L8" s="2856"/>
      <c r="M8" s="2856"/>
      <c r="N8" s="2856"/>
      <c r="O8" s="2856"/>
      <c r="P8" s="2856"/>
      <c r="Q8" s="2856"/>
      <c r="R8" s="2856"/>
      <c r="S8" s="2856"/>
      <c r="T8" s="2856"/>
      <c r="U8" s="2856"/>
      <c r="V8" s="2856"/>
      <c r="W8" s="2856"/>
      <c r="X8" s="2856"/>
      <c r="Y8" s="2856"/>
      <c r="Z8" s="2856"/>
    </row>
    <row r="9" spans="1:257" ht="20.25">
      <c r="A9" s="2876"/>
      <c r="B9" s="2877" t="s">
        <v>2796</v>
      </c>
      <c r="C9" s="2878"/>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0"/>
      <c r="CF9" s="2880"/>
      <c r="CG9" s="2880"/>
      <c r="CH9" s="2880"/>
      <c r="CI9" s="2880"/>
      <c r="CJ9" s="2880"/>
      <c r="CK9" s="2880"/>
      <c r="CL9" s="2880"/>
      <c r="CM9" s="2880"/>
      <c r="CN9" s="2880"/>
      <c r="CO9" s="2880"/>
      <c r="CP9" s="2880"/>
      <c r="CQ9" s="2880"/>
      <c r="CR9" s="2880"/>
      <c r="CS9" s="2880"/>
      <c r="CT9" s="2880"/>
      <c r="CU9" s="2880"/>
      <c r="CV9" s="2880"/>
      <c r="CW9" s="2880"/>
      <c r="CX9" s="2880"/>
      <c r="CY9" s="2880"/>
      <c r="CZ9" s="2880"/>
      <c r="DA9" s="2880"/>
      <c r="DB9" s="2880"/>
      <c r="DC9" s="2880"/>
      <c r="DD9" s="2880"/>
      <c r="DE9" s="2880"/>
      <c r="DF9" s="2880"/>
      <c r="DG9" s="2880"/>
      <c r="DH9" s="2880"/>
      <c r="DI9" s="2880"/>
      <c r="DJ9" s="2880"/>
      <c r="DK9" s="2880"/>
      <c r="DL9" s="2880"/>
      <c r="DM9" s="2880"/>
      <c r="DN9" s="2880"/>
      <c r="DO9" s="2880"/>
      <c r="DP9" s="2880"/>
      <c r="DQ9" s="2880"/>
      <c r="DR9" s="2880"/>
      <c r="DS9" s="2880"/>
      <c r="DT9" s="2880"/>
      <c r="DU9" s="2880"/>
      <c r="DV9" s="2880"/>
      <c r="DW9" s="2880"/>
      <c r="DX9" s="2880"/>
      <c r="DY9" s="2880"/>
      <c r="DZ9" s="2880"/>
      <c r="EA9" s="2880"/>
      <c r="EB9" s="2880"/>
      <c r="EC9" s="2880"/>
      <c r="ED9" s="2880"/>
      <c r="EE9" s="2880"/>
      <c r="EF9" s="2880"/>
      <c r="EG9" s="2880"/>
      <c r="EH9" s="2880"/>
      <c r="EI9" s="2880"/>
      <c r="EJ9" s="2880"/>
      <c r="EK9" s="2880"/>
      <c r="EL9" s="2880"/>
      <c r="EM9" s="2880"/>
      <c r="EN9" s="2880"/>
      <c r="EO9" s="2880"/>
      <c r="EP9" s="2880"/>
      <c r="EQ9" s="2880"/>
      <c r="ER9" s="2880"/>
      <c r="ES9" s="2880"/>
      <c r="ET9" s="2880"/>
      <c r="EU9" s="2880"/>
      <c r="EV9" s="2880"/>
      <c r="EW9" s="2880"/>
      <c r="EX9" s="2880"/>
      <c r="EY9" s="2880"/>
      <c r="EZ9" s="2880"/>
      <c r="FA9" s="2880"/>
      <c r="FB9" s="2880"/>
      <c r="FC9" s="2880"/>
      <c r="FD9" s="2880"/>
      <c r="FE9" s="2880"/>
      <c r="FF9" s="2880"/>
      <c r="FG9" s="2880"/>
      <c r="FH9" s="2880"/>
      <c r="FI9" s="2880"/>
      <c r="FJ9" s="2880"/>
      <c r="FK9" s="2880"/>
      <c r="FL9" s="2880"/>
      <c r="FM9" s="2880"/>
      <c r="FN9" s="2880"/>
      <c r="FO9" s="2880"/>
      <c r="FP9" s="2880"/>
      <c r="FQ9" s="2880"/>
      <c r="FR9" s="2880"/>
      <c r="FS9" s="2880"/>
      <c r="FT9" s="2880"/>
      <c r="FU9" s="2880"/>
      <c r="FV9" s="2880"/>
      <c r="FW9" s="2880"/>
      <c r="FX9" s="2880"/>
      <c r="FY9" s="2880"/>
      <c r="FZ9" s="2880"/>
      <c r="GA9" s="2880"/>
      <c r="GB9" s="2880"/>
      <c r="GC9" s="2880"/>
      <c r="GD9" s="2880"/>
      <c r="GE9" s="2880"/>
      <c r="GF9" s="2880"/>
      <c r="GG9" s="2880"/>
      <c r="GH9" s="2880"/>
      <c r="GI9" s="2880"/>
      <c r="GJ9" s="2880"/>
      <c r="GK9" s="2880"/>
      <c r="GL9" s="2880"/>
      <c r="GM9" s="2880"/>
      <c r="GN9" s="2880"/>
      <c r="GO9" s="2880"/>
      <c r="GP9" s="2880"/>
      <c r="GQ9" s="2880"/>
      <c r="GR9" s="2880"/>
      <c r="GS9" s="2880"/>
      <c r="GT9" s="2880"/>
      <c r="GU9" s="2880"/>
      <c r="GV9" s="2880"/>
      <c r="GW9" s="2880"/>
      <c r="GX9" s="2880"/>
      <c r="GY9" s="2880"/>
      <c r="GZ9" s="2880"/>
      <c r="HA9" s="2880"/>
      <c r="HB9" s="2880"/>
      <c r="HC9" s="2880"/>
      <c r="HD9" s="2880"/>
      <c r="HE9" s="2880"/>
      <c r="HF9" s="2880"/>
      <c r="HG9" s="2880"/>
      <c r="HH9" s="2880"/>
      <c r="HI9" s="2880"/>
      <c r="HJ9" s="2880"/>
      <c r="HK9" s="2880"/>
      <c r="HL9" s="2880"/>
      <c r="HM9" s="2880"/>
      <c r="HN9" s="2880"/>
      <c r="HO9" s="2880"/>
      <c r="HP9" s="2880"/>
      <c r="HQ9" s="2880"/>
      <c r="HR9" s="2880"/>
      <c r="HS9" s="2880"/>
      <c r="HT9" s="2880"/>
      <c r="HU9" s="2880"/>
      <c r="HV9" s="2880"/>
      <c r="HW9" s="2880"/>
      <c r="HX9" s="2880"/>
      <c r="HY9" s="2880"/>
      <c r="HZ9" s="2880"/>
      <c r="IA9" s="2880"/>
      <c r="IB9" s="2880"/>
      <c r="IC9" s="2880"/>
      <c r="ID9" s="2880"/>
      <c r="IE9" s="2880"/>
      <c r="IF9" s="2880"/>
      <c r="IG9" s="2880"/>
      <c r="IH9" s="2880"/>
      <c r="II9" s="2880"/>
      <c r="IJ9" s="2880"/>
      <c r="IK9" s="2880"/>
      <c r="IL9" s="2880"/>
      <c r="IM9" s="2880"/>
      <c r="IN9" s="2880"/>
      <c r="IO9" s="2880"/>
      <c r="IP9" s="2880"/>
      <c r="IQ9" s="2880"/>
      <c r="IR9" s="2880"/>
      <c r="IS9" s="2880"/>
      <c r="IT9" s="2880"/>
      <c r="IU9" s="2880"/>
      <c r="IV9" s="2880"/>
      <c r="IW9" s="2881"/>
    </row>
    <row r="10" spans="1:257" ht="22.5">
      <c r="A10" s="2882"/>
      <c r="B10" s="2883" t="s">
        <v>2797</v>
      </c>
      <c r="C10" s="2882"/>
      <c r="D10" s="2882"/>
      <c r="E10" s="2882"/>
      <c r="F10" s="2882"/>
      <c r="G10" s="2882"/>
      <c r="H10" s="2882"/>
      <c r="I10" s="2856"/>
      <c r="J10" s="2856"/>
      <c r="K10" s="2882"/>
      <c r="L10" s="2883" t="s">
        <v>2798</v>
      </c>
      <c r="M10" s="2882"/>
      <c r="N10" s="2882"/>
      <c r="O10" s="2882"/>
      <c r="P10" s="2882"/>
      <c r="Q10" s="2882"/>
      <c r="R10" s="2882"/>
      <c r="S10" s="2882"/>
      <c r="T10" s="2882"/>
      <c r="U10" s="2882"/>
      <c r="V10" s="2882"/>
      <c r="W10" s="2882"/>
      <c r="X10" s="2882"/>
      <c r="Y10" s="2882"/>
      <c r="Z10" s="2882"/>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4"/>
      <c r="FW10" s="2884"/>
      <c r="FX10" s="2884"/>
      <c r="FY10" s="2884"/>
      <c r="FZ10" s="2884"/>
      <c r="GA10" s="2884"/>
      <c r="GB10" s="2884"/>
      <c r="GC10" s="2884"/>
      <c r="GD10" s="2884"/>
      <c r="GE10" s="2884"/>
      <c r="GF10" s="2884"/>
      <c r="GG10" s="2884"/>
      <c r="GH10" s="2884"/>
      <c r="GI10" s="2884"/>
      <c r="GJ10" s="2884"/>
      <c r="GK10" s="2884"/>
      <c r="GL10" s="2884"/>
      <c r="GM10" s="2884"/>
      <c r="GN10" s="2884"/>
      <c r="GO10" s="2884"/>
      <c r="GP10" s="2884"/>
      <c r="GQ10" s="2884"/>
      <c r="GR10" s="2884"/>
      <c r="GS10" s="2884"/>
      <c r="GT10" s="2884"/>
      <c r="GU10" s="2884"/>
      <c r="GV10" s="2884"/>
      <c r="GW10" s="2884"/>
      <c r="GX10" s="2884"/>
      <c r="GY10" s="2884"/>
      <c r="GZ10" s="2884"/>
      <c r="HA10" s="2884"/>
      <c r="HB10" s="2884"/>
      <c r="HC10" s="2884"/>
      <c r="HD10" s="2884"/>
      <c r="HE10" s="2884"/>
      <c r="HF10" s="2884"/>
      <c r="HG10" s="2884"/>
      <c r="HH10" s="2884"/>
      <c r="HI10" s="2884"/>
      <c r="HJ10" s="2884"/>
      <c r="HK10" s="2884"/>
      <c r="HL10" s="2884"/>
      <c r="HM10" s="2884"/>
      <c r="HN10" s="2884"/>
      <c r="HO10" s="2884"/>
      <c r="HP10" s="2884"/>
      <c r="HQ10" s="2884"/>
      <c r="HR10" s="2884"/>
      <c r="HS10" s="2884"/>
      <c r="HT10" s="2884"/>
      <c r="HU10" s="2884"/>
      <c r="HV10" s="2884"/>
      <c r="HW10" s="2884"/>
      <c r="HX10" s="2884"/>
      <c r="HY10" s="2884"/>
      <c r="HZ10" s="2884"/>
      <c r="IA10" s="2884"/>
      <c r="IB10" s="2884"/>
      <c r="IC10" s="2884"/>
      <c r="ID10" s="2884"/>
      <c r="IE10" s="2884"/>
      <c r="IF10" s="2884"/>
      <c r="IG10" s="2884"/>
      <c r="IH10" s="2884"/>
      <c r="II10" s="2884"/>
      <c r="IJ10" s="2884"/>
      <c r="IK10" s="2884"/>
      <c r="IL10" s="2884"/>
      <c r="IM10" s="2884"/>
      <c r="IN10" s="2884"/>
      <c r="IO10" s="2884"/>
      <c r="IP10" s="2884"/>
      <c r="IQ10" s="2884"/>
      <c r="IR10" s="2884"/>
      <c r="IS10" s="2884"/>
      <c r="IT10" s="2884"/>
      <c r="IU10" s="2884"/>
      <c r="IV10" s="2884"/>
    </row>
    <row r="11" spans="1:257">
      <c r="A11" s="2885"/>
      <c r="B11" s="2886" t="s">
        <v>2799</v>
      </c>
      <c r="C11" s="2887" t="s">
        <v>2800</v>
      </c>
      <c r="D11" s="2888" t="s">
        <v>2801</v>
      </c>
      <c r="E11" s="2889"/>
      <c r="F11" s="2888" t="s">
        <v>2802</v>
      </c>
      <c r="G11" s="2890"/>
      <c r="H11" s="2889"/>
      <c r="I11" s="2888" t="s">
        <v>2803</v>
      </c>
      <c r="J11" s="2889"/>
      <c r="K11" s="2885"/>
      <c r="L11" s="2886" t="s">
        <v>2799</v>
      </c>
      <c r="M11" s="2887" t="s">
        <v>2800</v>
      </c>
      <c r="N11" s="2886" t="s">
        <v>2804</v>
      </c>
      <c r="O11" s="2888" t="s">
        <v>2805</v>
      </c>
      <c r="P11" s="2890"/>
      <c r="Q11" s="2890"/>
      <c r="R11" s="2890"/>
      <c r="S11" s="2890"/>
      <c r="T11" s="2889"/>
      <c r="U11" s="2888" t="s">
        <v>2806</v>
      </c>
      <c r="V11" s="2890"/>
      <c r="W11" s="2889"/>
      <c r="X11" s="2886" t="s">
        <v>2807</v>
      </c>
      <c r="Y11" s="2886" t="s">
        <v>2808</v>
      </c>
      <c r="Z11" s="2886" t="s">
        <v>2809</v>
      </c>
      <c r="AA11" s="2891"/>
      <c r="AB11" s="2891"/>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c r="CF11" s="2891"/>
      <c r="CG11" s="2891"/>
      <c r="CH11" s="2891"/>
      <c r="CI11" s="2891"/>
      <c r="CJ11" s="2891"/>
      <c r="CK11" s="2891"/>
      <c r="CL11" s="2891"/>
      <c r="CM11" s="2891"/>
      <c r="CN11" s="2891"/>
      <c r="CO11" s="2891"/>
      <c r="CP11" s="2891"/>
      <c r="CQ11" s="2891"/>
      <c r="CR11" s="2891"/>
      <c r="CS11" s="2891"/>
      <c r="CT11" s="2891"/>
      <c r="CU11" s="2891"/>
      <c r="CV11" s="2891"/>
      <c r="CW11" s="2891"/>
      <c r="CX11" s="2891"/>
      <c r="CY11" s="2891"/>
      <c r="CZ11" s="2891"/>
      <c r="DA11" s="2891"/>
      <c r="DB11" s="2891"/>
      <c r="DC11" s="2891"/>
      <c r="DD11" s="2891"/>
      <c r="DE11" s="2891"/>
      <c r="DF11" s="2891"/>
      <c r="DG11" s="2891"/>
      <c r="DH11" s="2891"/>
      <c r="DI11" s="2891"/>
      <c r="DJ11" s="2891"/>
      <c r="DK11" s="2891"/>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1"/>
      <c r="FX11" s="2891"/>
      <c r="FY11" s="2891"/>
      <c r="FZ11" s="2891"/>
      <c r="GA11" s="2891"/>
      <c r="GB11" s="2891"/>
      <c r="GC11" s="2891"/>
      <c r="GD11" s="2891"/>
      <c r="GE11" s="2891"/>
      <c r="GF11" s="2891"/>
      <c r="GG11" s="2891"/>
      <c r="GH11" s="2891"/>
      <c r="GI11" s="2891"/>
      <c r="GJ11" s="2891"/>
      <c r="GK11" s="2891"/>
      <c r="GL11" s="2891"/>
      <c r="GM11" s="2891"/>
      <c r="GN11" s="2891"/>
      <c r="GO11" s="2891"/>
      <c r="GP11" s="2891"/>
      <c r="GQ11" s="2891"/>
      <c r="GR11" s="2891"/>
      <c r="GS11" s="2891"/>
      <c r="GT11" s="2891"/>
      <c r="GU11" s="2891"/>
      <c r="GV11" s="2891"/>
      <c r="GW11" s="2891"/>
      <c r="GX11" s="2891"/>
      <c r="GY11" s="2891"/>
      <c r="GZ11" s="2891"/>
      <c r="HA11" s="2891"/>
      <c r="HB11" s="2891"/>
      <c r="HC11" s="2891"/>
      <c r="HD11" s="2891"/>
      <c r="HE11" s="2891"/>
      <c r="HF11" s="2891"/>
      <c r="HG11" s="2891"/>
      <c r="HH11" s="2891"/>
      <c r="HI11" s="2891"/>
      <c r="HJ11" s="2891"/>
      <c r="HK11" s="2891"/>
      <c r="HL11" s="2891"/>
      <c r="HM11" s="2891"/>
      <c r="HN11" s="2891"/>
      <c r="HO11" s="2891"/>
      <c r="HP11" s="2891"/>
      <c r="HQ11" s="2891"/>
      <c r="HR11" s="2891"/>
      <c r="HS11" s="2891"/>
      <c r="HT11" s="2891"/>
      <c r="HU11" s="2891"/>
      <c r="HV11" s="2891"/>
      <c r="HW11" s="2891"/>
      <c r="HX11" s="2891"/>
      <c r="HY11" s="2891"/>
      <c r="HZ11" s="2891"/>
      <c r="IA11" s="2891"/>
      <c r="IB11" s="2891"/>
      <c r="IC11" s="2891"/>
      <c r="ID11" s="2891"/>
      <c r="IE11" s="2891"/>
      <c r="IF11" s="2891"/>
      <c r="IG11" s="2891"/>
      <c r="IH11" s="2891"/>
      <c r="II11" s="2891"/>
      <c r="IJ11" s="2891"/>
      <c r="IK11" s="2891"/>
      <c r="IL11" s="2891"/>
      <c r="IM11" s="2891"/>
      <c r="IN11" s="2891"/>
      <c r="IO11" s="2891"/>
      <c r="IP11" s="2891"/>
      <c r="IQ11" s="2891"/>
      <c r="IR11" s="2891"/>
      <c r="IS11" s="2891"/>
      <c r="IT11" s="2891"/>
      <c r="IU11" s="2891"/>
      <c r="IV11" s="2891"/>
    </row>
    <row r="12" spans="1:257">
      <c r="A12" s="2892"/>
      <c r="B12" s="2893"/>
      <c r="C12" s="2894"/>
      <c r="D12" s="2895" t="s">
        <v>2810</v>
      </c>
      <c r="E12" s="2895" t="s">
        <v>2811</v>
      </c>
      <c r="F12" s="2895" t="s">
        <v>2812</v>
      </c>
      <c r="G12" s="2895" t="s">
        <v>2813</v>
      </c>
      <c r="H12" s="2895" t="s">
        <v>2795</v>
      </c>
      <c r="I12" s="2896" t="s">
        <v>2814</v>
      </c>
      <c r="J12" s="2896" t="s">
        <v>2814</v>
      </c>
      <c r="K12" s="2892"/>
      <c r="L12" s="2893"/>
      <c r="M12" s="2894"/>
      <c r="N12" s="2893"/>
      <c r="O12" s="2896" t="s">
        <v>2815</v>
      </c>
      <c r="P12" s="2896">
        <v>0.5</v>
      </c>
      <c r="Q12" s="2896">
        <v>1</v>
      </c>
      <c r="R12" s="2896">
        <v>2</v>
      </c>
      <c r="S12" s="2896">
        <v>3</v>
      </c>
      <c r="T12" s="2896">
        <v>5</v>
      </c>
      <c r="U12" s="2896">
        <v>1</v>
      </c>
      <c r="V12" s="2896">
        <v>3</v>
      </c>
      <c r="W12" s="2896">
        <v>5</v>
      </c>
      <c r="X12" s="2893"/>
      <c r="Y12" s="2893"/>
      <c r="Z12" s="2893"/>
      <c r="AA12" s="2897"/>
      <c r="AB12" s="2897"/>
      <c r="AC12" s="2897"/>
      <c r="AD12" s="2897"/>
      <c r="AE12" s="2897"/>
      <c r="AF12" s="2897"/>
      <c r="AG12" s="2897"/>
      <c r="AH12" s="2897"/>
      <c r="AI12" s="2897"/>
      <c r="AJ12" s="2897"/>
      <c r="AK12" s="2897"/>
      <c r="AL12" s="2897"/>
      <c r="AM12" s="2897"/>
      <c r="AN12" s="2897"/>
      <c r="AO12" s="2897"/>
      <c r="AP12" s="2897"/>
      <c r="AQ12" s="2897"/>
      <c r="AR12" s="2897"/>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c r="CF12" s="2897"/>
      <c r="CG12" s="2897"/>
      <c r="CH12" s="2897"/>
      <c r="CI12" s="2897"/>
      <c r="CJ12" s="2897"/>
      <c r="CK12" s="2897"/>
      <c r="CL12" s="2897"/>
      <c r="CM12" s="2897"/>
      <c r="CN12" s="2897"/>
      <c r="CO12" s="2897"/>
      <c r="CP12" s="2897"/>
      <c r="CQ12" s="2897"/>
      <c r="CR12" s="2897"/>
      <c r="CS12" s="2897"/>
      <c r="CT12" s="2897"/>
      <c r="CU12" s="2897"/>
      <c r="CV12" s="2897"/>
      <c r="CW12" s="2897"/>
      <c r="CX12" s="2897"/>
      <c r="CY12" s="2897"/>
      <c r="CZ12" s="2897"/>
      <c r="DA12" s="2897"/>
      <c r="DB12" s="2897"/>
      <c r="DC12" s="2897"/>
      <c r="DD12" s="2897"/>
      <c r="DE12" s="2897"/>
      <c r="DF12" s="2897"/>
      <c r="DG12" s="2897"/>
      <c r="DH12" s="2897"/>
      <c r="DI12" s="2897"/>
      <c r="DJ12" s="2897"/>
      <c r="DK12" s="2897"/>
      <c r="DL12" s="2897"/>
      <c r="DM12" s="2897"/>
      <c r="DN12" s="2897"/>
      <c r="DO12" s="2897"/>
      <c r="DP12" s="2897"/>
      <c r="DQ12" s="2897"/>
      <c r="DR12" s="2897"/>
      <c r="DS12" s="2897"/>
      <c r="DT12" s="2897"/>
      <c r="DU12" s="2897"/>
      <c r="DV12" s="2897"/>
      <c r="DW12" s="2897"/>
      <c r="DX12" s="2897"/>
      <c r="DY12" s="2897"/>
      <c r="DZ12" s="2897"/>
      <c r="EA12" s="2897"/>
      <c r="EB12" s="2897"/>
      <c r="EC12" s="2897"/>
      <c r="ED12" s="2897"/>
      <c r="EE12" s="2897"/>
      <c r="EF12" s="2897"/>
      <c r="EG12" s="2897"/>
      <c r="EH12" s="2897"/>
      <c r="EI12" s="2897"/>
      <c r="EJ12" s="2897"/>
      <c r="EK12" s="2897"/>
      <c r="EL12" s="2897"/>
      <c r="EM12" s="2897"/>
      <c r="EN12" s="2897"/>
      <c r="EO12" s="2897"/>
      <c r="EP12" s="2897"/>
      <c r="EQ12" s="2897"/>
      <c r="ER12" s="2897"/>
      <c r="ES12" s="2897"/>
      <c r="ET12" s="2897"/>
      <c r="EU12" s="2897"/>
      <c r="EV12" s="2897"/>
      <c r="EW12" s="2897"/>
      <c r="EX12" s="2897"/>
      <c r="EY12" s="2897"/>
      <c r="EZ12" s="2897"/>
      <c r="FA12" s="2897"/>
      <c r="FB12" s="2897"/>
      <c r="FC12" s="2897"/>
      <c r="FD12" s="2897"/>
      <c r="FE12" s="2897"/>
      <c r="FF12" s="2897"/>
      <c r="FG12" s="2897"/>
      <c r="FH12" s="2897"/>
      <c r="FI12" s="2897"/>
      <c r="FJ12" s="2897"/>
      <c r="FK12" s="2897"/>
      <c r="FL12" s="2897"/>
      <c r="FM12" s="2897"/>
      <c r="FN12" s="2897"/>
      <c r="FO12" s="2897"/>
      <c r="FP12" s="2897"/>
      <c r="FQ12" s="2897"/>
      <c r="FR12" s="2897"/>
      <c r="FS12" s="2897"/>
      <c r="FT12" s="2897"/>
      <c r="FU12" s="2897"/>
      <c r="FV12" s="2897"/>
      <c r="FW12" s="2897"/>
      <c r="FX12" s="2897"/>
      <c r="FY12" s="2897"/>
      <c r="FZ12" s="2897"/>
      <c r="GA12" s="2897"/>
      <c r="GB12" s="2897"/>
      <c r="GC12" s="2897"/>
      <c r="GD12" s="2897"/>
      <c r="GE12" s="2897"/>
      <c r="GF12" s="2897"/>
      <c r="GG12" s="2897"/>
      <c r="GH12" s="2897"/>
      <c r="GI12" s="2897"/>
      <c r="GJ12" s="2897"/>
      <c r="GK12" s="2897"/>
      <c r="GL12" s="2897"/>
      <c r="GM12" s="2897"/>
      <c r="GN12" s="2897"/>
      <c r="GO12" s="2897"/>
      <c r="GP12" s="2897"/>
      <c r="GQ12" s="2897"/>
      <c r="GR12" s="2897"/>
      <c r="GS12" s="2897"/>
      <c r="GT12" s="2897"/>
      <c r="GU12" s="2897"/>
      <c r="GV12" s="2897"/>
      <c r="GW12" s="2897"/>
      <c r="GX12" s="2897"/>
      <c r="GY12" s="2897"/>
      <c r="GZ12" s="2897"/>
      <c r="HA12" s="2897"/>
      <c r="HB12" s="2897"/>
      <c r="HC12" s="2897"/>
      <c r="HD12" s="2897"/>
      <c r="HE12" s="2897"/>
      <c r="HF12" s="2897"/>
      <c r="HG12" s="2897"/>
      <c r="HH12" s="2897"/>
      <c r="HI12" s="2897"/>
      <c r="HJ12" s="2897"/>
      <c r="HK12" s="2897"/>
      <c r="HL12" s="2897"/>
      <c r="HM12" s="2897"/>
      <c r="HN12" s="2897"/>
      <c r="HO12" s="2897"/>
      <c r="HP12" s="2897"/>
      <c r="HQ12" s="2897"/>
      <c r="HR12" s="2897"/>
      <c r="HS12" s="2897"/>
      <c r="HT12" s="2897"/>
      <c r="HU12" s="2897"/>
      <c r="HV12" s="2897"/>
      <c r="HW12" s="2897"/>
      <c r="HX12" s="2897"/>
      <c r="HY12" s="2897"/>
      <c r="HZ12" s="2897"/>
      <c r="IA12" s="2897"/>
      <c r="IB12" s="2897"/>
      <c r="IC12" s="2897"/>
      <c r="ID12" s="2897"/>
      <c r="IE12" s="2897"/>
      <c r="IF12" s="2897"/>
      <c r="IG12" s="2897"/>
      <c r="IH12" s="2897"/>
      <c r="II12" s="2897"/>
      <c r="IJ12" s="2897"/>
      <c r="IK12" s="2897"/>
      <c r="IL12" s="2897"/>
      <c r="IM12" s="2897"/>
      <c r="IN12" s="2897"/>
      <c r="IO12" s="2897"/>
      <c r="IP12" s="2897"/>
      <c r="IQ12" s="2897"/>
      <c r="IR12" s="2897"/>
      <c r="IS12" s="2897"/>
      <c r="IT12" s="2897"/>
      <c r="IU12" s="2897"/>
      <c r="IV12" s="2897"/>
    </row>
    <row r="13" spans="1:257" ht="14.25">
      <c r="A13" s="2898"/>
      <c r="B13" s="2899" t="s">
        <v>2816</v>
      </c>
      <c r="C13" s="2900">
        <v>42301</v>
      </c>
      <c r="D13" s="2901">
        <v>4.3499999999999996</v>
      </c>
      <c r="E13" s="2901">
        <v>4.3499999999999996</v>
      </c>
      <c r="F13" s="2901">
        <v>4.75</v>
      </c>
      <c r="G13" s="2901">
        <v>4.75</v>
      </c>
      <c r="H13" s="2901">
        <v>4.9000000000000004</v>
      </c>
      <c r="I13" s="2901">
        <v>2.75</v>
      </c>
      <c r="J13" s="2901">
        <v>3.25</v>
      </c>
      <c r="K13" s="2898"/>
      <c r="L13" s="2899" t="s">
        <v>2816</v>
      </c>
      <c r="M13" s="2902">
        <v>42301</v>
      </c>
      <c r="N13" s="2901">
        <v>0.35</v>
      </c>
      <c r="O13" s="2901">
        <v>1.1000000000000001</v>
      </c>
      <c r="P13" s="2901">
        <v>1.3</v>
      </c>
      <c r="Q13" s="2901">
        <v>1.5</v>
      </c>
      <c r="R13" s="2901">
        <v>2.1</v>
      </c>
      <c r="S13" s="2901">
        <v>2.75</v>
      </c>
      <c r="T13" s="2901"/>
      <c r="U13" s="2901"/>
      <c r="V13" s="2901"/>
      <c r="W13" s="2901"/>
      <c r="X13" s="2901"/>
      <c r="Y13" s="2901"/>
      <c r="Z13" s="2901"/>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c r="CF13" s="2903"/>
      <c r="CG13" s="2903"/>
      <c r="CH13" s="2903"/>
      <c r="CI13" s="2903"/>
      <c r="CJ13" s="2903"/>
      <c r="CK13" s="2903"/>
      <c r="CL13" s="2903"/>
      <c r="CM13" s="2903"/>
      <c r="CN13" s="2903"/>
      <c r="CO13" s="2903"/>
      <c r="CP13" s="2903"/>
      <c r="CQ13" s="2903"/>
      <c r="CR13" s="2903"/>
      <c r="CS13" s="2903"/>
      <c r="CT13" s="2903"/>
      <c r="CU13" s="2903"/>
      <c r="CV13" s="2903"/>
      <c r="CW13" s="2903"/>
      <c r="CX13" s="2903"/>
      <c r="CY13" s="2903"/>
      <c r="CZ13" s="2903"/>
      <c r="DA13" s="2903"/>
      <c r="DB13" s="2903"/>
      <c r="DC13" s="2903"/>
      <c r="DD13" s="2903"/>
      <c r="DE13" s="2903"/>
      <c r="DF13" s="2903"/>
      <c r="DG13" s="2903"/>
      <c r="DH13" s="2903"/>
      <c r="DI13" s="2903"/>
      <c r="DJ13" s="2903"/>
      <c r="DK13" s="2903"/>
      <c r="DL13" s="2903"/>
      <c r="DM13" s="2903"/>
      <c r="DN13" s="2903"/>
      <c r="DO13" s="2903"/>
      <c r="DP13" s="2903"/>
      <c r="DQ13" s="2903"/>
      <c r="DR13" s="2903"/>
      <c r="DS13" s="2903"/>
      <c r="DT13" s="2903"/>
      <c r="DU13" s="2903"/>
      <c r="DV13" s="2903"/>
      <c r="DW13" s="2903"/>
      <c r="DX13" s="2903"/>
      <c r="DY13" s="2903"/>
      <c r="DZ13" s="2903"/>
      <c r="EA13" s="2903"/>
      <c r="EB13" s="2903"/>
      <c r="EC13" s="2903"/>
      <c r="ED13" s="2903"/>
      <c r="EE13" s="2903"/>
      <c r="EF13" s="2903"/>
      <c r="EG13" s="2903"/>
      <c r="EH13" s="2903"/>
      <c r="EI13" s="2903"/>
      <c r="EJ13" s="2903"/>
      <c r="EK13" s="2903"/>
      <c r="EL13" s="2903"/>
      <c r="EM13" s="2903"/>
      <c r="EN13" s="2903"/>
      <c r="EO13" s="2903"/>
      <c r="EP13" s="2903"/>
      <c r="EQ13" s="2903"/>
      <c r="ER13" s="2903"/>
      <c r="ES13" s="2903"/>
      <c r="ET13" s="2903"/>
      <c r="EU13" s="2903"/>
      <c r="EV13" s="2903"/>
      <c r="EW13" s="2903"/>
      <c r="EX13" s="2903"/>
      <c r="EY13" s="2903"/>
      <c r="EZ13" s="2903"/>
      <c r="FA13" s="2903"/>
      <c r="FB13" s="2903"/>
      <c r="FC13" s="2903"/>
      <c r="FD13" s="2903"/>
      <c r="FE13" s="2903"/>
      <c r="FF13" s="2903"/>
      <c r="FG13" s="2903"/>
      <c r="FH13" s="2903"/>
      <c r="FI13" s="2903"/>
      <c r="FJ13" s="2903"/>
      <c r="FK13" s="2903"/>
      <c r="FL13" s="2903"/>
      <c r="FM13" s="2903"/>
      <c r="FN13" s="2903"/>
      <c r="FO13" s="2903"/>
      <c r="FP13" s="2903"/>
      <c r="FQ13" s="2903"/>
      <c r="FR13" s="2903"/>
      <c r="FS13" s="2903"/>
      <c r="FT13" s="2903"/>
      <c r="FU13" s="2903"/>
      <c r="FV13" s="2903"/>
      <c r="FW13" s="2903"/>
      <c r="FX13" s="2903"/>
      <c r="FY13" s="2903"/>
      <c r="FZ13" s="2903"/>
      <c r="GA13" s="2903"/>
      <c r="GB13" s="2903"/>
      <c r="GC13" s="2903"/>
      <c r="GD13" s="2903"/>
      <c r="GE13" s="2903"/>
      <c r="GF13" s="2903"/>
      <c r="GG13" s="2903"/>
      <c r="GH13" s="2903"/>
      <c r="GI13" s="2903"/>
      <c r="GJ13" s="2903"/>
      <c r="GK13" s="2903"/>
      <c r="GL13" s="2903"/>
      <c r="GM13" s="2903"/>
      <c r="GN13" s="2903"/>
      <c r="GO13" s="2903"/>
      <c r="GP13" s="2903"/>
      <c r="GQ13" s="2903"/>
      <c r="GR13" s="2903"/>
      <c r="GS13" s="2903"/>
      <c r="GT13" s="2903"/>
      <c r="GU13" s="2903"/>
      <c r="GV13" s="2903"/>
      <c r="GW13" s="2903"/>
      <c r="GX13" s="2903"/>
      <c r="GY13" s="2903"/>
      <c r="GZ13" s="2903"/>
      <c r="HA13" s="2903"/>
      <c r="HB13" s="2903"/>
      <c r="HC13" s="2903"/>
      <c r="HD13" s="2903"/>
      <c r="HE13" s="2903"/>
      <c r="HF13" s="2903"/>
      <c r="HG13" s="2903"/>
      <c r="HH13" s="2903"/>
      <c r="HI13" s="2903"/>
      <c r="HJ13" s="2903"/>
      <c r="HK13" s="2903"/>
      <c r="HL13" s="2903"/>
      <c r="HM13" s="2903"/>
      <c r="HN13" s="2903"/>
      <c r="HO13" s="2903"/>
      <c r="HP13" s="2903"/>
      <c r="HQ13" s="2903"/>
      <c r="HR13" s="2903"/>
      <c r="HS13" s="2903"/>
      <c r="HT13" s="2903"/>
      <c r="HU13" s="2903"/>
      <c r="HV13" s="2903"/>
      <c r="HW13" s="2903"/>
      <c r="HX13" s="2903"/>
      <c r="HY13" s="2903"/>
      <c r="HZ13" s="2903"/>
      <c r="IA13" s="2903"/>
      <c r="IB13" s="2903"/>
      <c r="IC13" s="2903"/>
      <c r="ID13" s="2903"/>
      <c r="IE13" s="2903"/>
      <c r="IF13" s="2903"/>
      <c r="IG13" s="2903"/>
      <c r="IH13" s="2903"/>
      <c r="II13" s="2903"/>
      <c r="IJ13" s="2903"/>
      <c r="IK13" s="2903"/>
      <c r="IL13" s="2903"/>
      <c r="IM13" s="2903"/>
      <c r="IN13" s="2903"/>
      <c r="IO13" s="2903"/>
      <c r="IP13" s="2903"/>
      <c r="IQ13" s="2903"/>
      <c r="IR13" s="2903"/>
      <c r="IS13" s="2903"/>
      <c r="IT13" s="2903"/>
      <c r="IU13" s="2903"/>
      <c r="IV13" s="2903"/>
      <c r="IW13" s="2904"/>
    </row>
    <row r="14" spans="1:257">
      <c r="B14" s="2905"/>
      <c r="C14" s="2906">
        <v>42242</v>
      </c>
      <c r="D14" s="2905">
        <v>4.5999999999999996</v>
      </c>
      <c r="E14" s="2905">
        <v>4.5999999999999996</v>
      </c>
      <c r="F14" s="2905">
        <v>5</v>
      </c>
      <c r="G14" s="2905">
        <v>5</v>
      </c>
      <c r="H14" s="2905">
        <v>5.15</v>
      </c>
      <c r="I14" s="2905">
        <v>2.75</v>
      </c>
      <c r="J14" s="2905">
        <v>3.25</v>
      </c>
      <c r="L14" s="2905"/>
      <c r="M14" s="2906">
        <v>42242</v>
      </c>
      <c r="N14" s="2905">
        <v>0.35</v>
      </c>
      <c r="O14" s="2905">
        <v>1.35</v>
      </c>
      <c r="P14" s="2905">
        <v>1.55</v>
      </c>
      <c r="Q14" s="2905">
        <v>1.75</v>
      </c>
      <c r="R14" s="2905">
        <v>2.35</v>
      </c>
      <c r="S14" s="2905">
        <v>3</v>
      </c>
      <c r="T14" s="2905"/>
      <c r="U14" s="2905"/>
      <c r="V14" s="2905"/>
      <c r="W14" s="2905"/>
      <c r="X14" s="2905"/>
      <c r="Y14" s="2905"/>
      <c r="Z14" s="2905"/>
    </row>
    <row r="15" spans="1:257">
      <c r="B15" s="2905"/>
      <c r="C15" s="2906">
        <v>42183</v>
      </c>
      <c r="D15" s="2905">
        <v>4.8499999999999996</v>
      </c>
      <c r="E15" s="2905">
        <v>4.8499999999999996</v>
      </c>
      <c r="F15" s="2905">
        <v>5.25</v>
      </c>
      <c r="G15" s="2905">
        <v>5.25</v>
      </c>
      <c r="H15" s="2905">
        <v>5.4</v>
      </c>
      <c r="I15" s="2905">
        <v>3</v>
      </c>
      <c r="J15" s="2905">
        <v>3.5</v>
      </c>
      <c r="L15" s="2905"/>
      <c r="M15" s="2906">
        <v>42183</v>
      </c>
      <c r="N15" s="2905">
        <v>0.35</v>
      </c>
      <c r="O15" s="2905">
        <v>1.6</v>
      </c>
      <c r="P15" s="2905">
        <v>1.8</v>
      </c>
      <c r="Q15" s="2905">
        <v>2</v>
      </c>
      <c r="R15" s="2905">
        <v>2.6</v>
      </c>
      <c r="S15" s="2905">
        <v>3.25</v>
      </c>
      <c r="T15" s="2905"/>
      <c r="U15" s="2905"/>
      <c r="V15" s="2905"/>
      <c r="W15" s="2905"/>
      <c r="X15" s="2905"/>
      <c r="Y15" s="2905"/>
      <c r="Z15" s="2905"/>
    </row>
    <row r="16" spans="1:257">
      <c r="B16" s="2905"/>
      <c r="C16" s="2906">
        <v>42135</v>
      </c>
      <c r="D16" s="2905">
        <v>5.0999999999999996</v>
      </c>
      <c r="E16" s="2905">
        <v>5.0999999999999996</v>
      </c>
      <c r="F16" s="2905">
        <v>5.5</v>
      </c>
      <c r="G16" s="2905">
        <v>5.5</v>
      </c>
      <c r="H16" s="2905">
        <v>5.65</v>
      </c>
      <c r="I16" s="2905">
        <v>3.25</v>
      </c>
      <c r="J16" s="2905">
        <v>3.75</v>
      </c>
      <c r="L16" s="2905"/>
      <c r="M16" s="2906">
        <v>42135</v>
      </c>
      <c r="N16" s="2905">
        <v>0.35</v>
      </c>
      <c r="O16" s="2905">
        <v>1.85</v>
      </c>
      <c r="P16" s="2905">
        <v>2.0499999999999998</v>
      </c>
      <c r="Q16" s="2905">
        <v>2.25</v>
      </c>
      <c r="R16" s="2905">
        <v>2.85</v>
      </c>
      <c r="S16" s="2905">
        <v>3.5</v>
      </c>
      <c r="T16" s="2905"/>
      <c r="U16" s="2905"/>
      <c r="V16" s="2905"/>
      <c r="W16" s="2905"/>
      <c r="X16" s="2905"/>
      <c r="Y16" s="2905"/>
      <c r="Z16" s="2905"/>
    </row>
    <row r="17" spans="2:26">
      <c r="B17" s="2905"/>
      <c r="C17" s="2906">
        <v>42064</v>
      </c>
      <c r="D17" s="2905">
        <v>5.35</v>
      </c>
      <c r="E17" s="2905">
        <v>5.35</v>
      </c>
      <c r="F17" s="2905">
        <v>5.75</v>
      </c>
      <c r="G17" s="2905">
        <v>5.75</v>
      </c>
      <c r="H17" s="2905">
        <v>5.9</v>
      </c>
      <c r="I17" s="2905"/>
      <c r="J17" s="2905"/>
      <c r="L17" s="2905"/>
      <c r="M17" s="2906">
        <v>42064</v>
      </c>
      <c r="N17" s="2905">
        <v>0.35</v>
      </c>
      <c r="O17" s="2905">
        <v>2.1</v>
      </c>
      <c r="P17" s="2905">
        <v>2.2999999999999998</v>
      </c>
      <c r="Q17" s="2905">
        <v>2.5</v>
      </c>
      <c r="R17" s="2905">
        <v>3.1</v>
      </c>
      <c r="S17" s="2905">
        <v>3.75</v>
      </c>
      <c r="T17" s="2905">
        <v>4.5</v>
      </c>
      <c r="U17" s="2905">
        <v>2.35</v>
      </c>
      <c r="V17" s="2905">
        <v>2.5499999999999998</v>
      </c>
      <c r="W17" s="2905">
        <v>2.75</v>
      </c>
      <c r="X17" s="2905"/>
      <c r="Y17" s="2905">
        <v>0.8</v>
      </c>
      <c r="Z17" s="2905">
        <v>1.35</v>
      </c>
    </row>
    <row r="18" spans="2:26" ht="15">
      <c r="B18" s="2905"/>
      <c r="C18" s="2906">
        <v>41965</v>
      </c>
      <c r="D18" s="2905">
        <v>5.6</v>
      </c>
      <c r="E18" s="2905">
        <v>5.6</v>
      </c>
      <c r="F18" s="2905">
        <v>6</v>
      </c>
      <c r="G18" s="2905">
        <v>6</v>
      </c>
      <c r="H18" s="2905">
        <v>6.15</v>
      </c>
      <c r="I18" s="2905"/>
      <c r="J18" s="2905"/>
      <c r="L18" s="2905"/>
      <c r="M18" s="2906">
        <v>41965</v>
      </c>
      <c r="N18" s="2905">
        <v>0.35</v>
      </c>
      <c r="O18" s="2905">
        <v>2.35</v>
      </c>
      <c r="P18" s="2905">
        <v>2.5499999999999998</v>
      </c>
      <c r="Q18" s="2905">
        <v>2.75</v>
      </c>
      <c r="R18" s="2905">
        <v>3.35</v>
      </c>
      <c r="S18" s="2905">
        <v>4</v>
      </c>
      <c r="T18" s="2905">
        <v>4.75</v>
      </c>
      <c r="U18" s="2907">
        <v>2.35</v>
      </c>
      <c r="V18" s="2907">
        <v>2.5499999999999998</v>
      </c>
      <c r="W18" s="2907">
        <v>2.75</v>
      </c>
      <c r="X18" s="2905"/>
      <c r="Y18" s="2907">
        <v>0.8</v>
      </c>
      <c r="Z18" s="2907">
        <v>1.35</v>
      </c>
    </row>
    <row r="19" spans="2:26">
      <c r="B19" s="2905"/>
      <c r="C19" s="2906">
        <v>41096</v>
      </c>
      <c r="D19" s="2905">
        <v>5.6</v>
      </c>
      <c r="E19" s="2905">
        <v>6</v>
      </c>
      <c r="F19" s="2905">
        <v>6.15</v>
      </c>
      <c r="G19" s="2905">
        <v>6.4</v>
      </c>
      <c r="H19" s="2905">
        <v>6.55</v>
      </c>
      <c r="I19" s="2905">
        <v>4</v>
      </c>
      <c r="J19" s="2905">
        <v>4.5</v>
      </c>
      <c r="L19" s="2905"/>
      <c r="M19" s="2906">
        <v>41096</v>
      </c>
      <c r="N19" s="2905">
        <v>0.35</v>
      </c>
      <c r="O19" s="2905">
        <v>2.6</v>
      </c>
      <c r="P19" s="2905">
        <v>2.8</v>
      </c>
      <c r="Q19" s="2905">
        <v>3</v>
      </c>
      <c r="R19" s="2905">
        <v>3.75</v>
      </c>
      <c r="S19" s="2905">
        <v>4.25</v>
      </c>
      <c r="T19" s="2905">
        <v>4.75</v>
      </c>
      <c r="U19" s="2905">
        <v>2.85</v>
      </c>
      <c r="V19" s="2905">
        <v>2.9</v>
      </c>
      <c r="W19" s="2905">
        <v>3</v>
      </c>
      <c r="X19" s="2905">
        <v>1.1499999999999999</v>
      </c>
      <c r="Y19" s="2905">
        <v>0.8</v>
      </c>
      <c r="Z19" s="2905">
        <v>1.35</v>
      </c>
    </row>
    <row r="20" spans="2:26">
      <c r="B20" s="2905"/>
      <c r="C20" s="2906">
        <v>41068</v>
      </c>
      <c r="D20" s="2905">
        <v>5.85</v>
      </c>
      <c r="E20" s="2905">
        <v>6.31</v>
      </c>
      <c r="F20" s="2905">
        <v>6.4</v>
      </c>
      <c r="G20" s="2905">
        <v>6.65</v>
      </c>
      <c r="H20" s="2905">
        <v>6.8</v>
      </c>
      <c r="I20" s="2905">
        <v>4.2</v>
      </c>
      <c r="J20" s="2905">
        <v>4.7</v>
      </c>
      <c r="L20" s="2905"/>
      <c r="M20" s="2906">
        <v>41068</v>
      </c>
      <c r="N20" s="2905">
        <v>0.4</v>
      </c>
      <c r="O20" s="2905">
        <v>2.85</v>
      </c>
      <c r="P20" s="2905">
        <v>3.05</v>
      </c>
      <c r="Q20" s="2905">
        <v>3.25</v>
      </c>
      <c r="R20" s="2905">
        <v>4.0999999999999996</v>
      </c>
      <c r="S20" s="2905">
        <v>4.6500000000000004</v>
      </c>
      <c r="T20" s="2905">
        <v>5.0999999999999996</v>
      </c>
      <c r="U20" s="2905">
        <v>3.1</v>
      </c>
      <c r="V20" s="2905">
        <v>3.15</v>
      </c>
      <c r="W20" s="2905">
        <v>3.25</v>
      </c>
      <c r="X20" s="2905">
        <v>1.31</v>
      </c>
      <c r="Y20" s="2905">
        <v>0.94</v>
      </c>
      <c r="Z20" s="2905">
        <v>1.49</v>
      </c>
    </row>
    <row r="21" spans="2:26">
      <c r="B21" s="2905"/>
      <c r="C21" s="2906">
        <v>40731</v>
      </c>
      <c r="D21" s="2905">
        <v>6.1</v>
      </c>
      <c r="E21" s="2905">
        <v>6.56</v>
      </c>
      <c r="F21" s="2905">
        <v>6.65</v>
      </c>
      <c r="G21" s="2905">
        <v>6.9</v>
      </c>
      <c r="H21" s="2905">
        <v>7.05</v>
      </c>
      <c r="I21" s="2905">
        <v>4.45</v>
      </c>
      <c r="J21" s="2905">
        <v>4.9000000000000004</v>
      </c>
      <c r="L21" s="2905"/>
      <c r="M21" s="2906">
        <v>40731</v>
      </c>
      <c r="N21" s="2905">
        <v>0.5</v>
      </c>
      <c r="O21" s="2905">
        <v>3.1</v>
      </c>
      <c r="P21" s="2905">
        <v>3.3</v>
      </c>
      <c r="Q21" s="2905">
        <v>3.5</v>
      </c>
      <c r="R21" s="2905">
        <v>4.4000000000000004</v>
      </c>
      <c r="S21" s="2905">
        <v>5</v>
      </c>
      <c r="T21" s="2905">
        <v>5.5</v>
      </c>
      <c r="U21" s="2905">
        <v>3.1</v>
      </c>
      <c r="V21" s="2905">
        <v>3.3</v>
      </c>
      <c r="W21" s="2905">
        <v>3.5</v>
      </c>
      <c r="X21" s="2905">
        <v>1.31</v>
      </c>
      <c r="Y21" s="2905">
        <v>0.95</v>
      </c>
      <c r="Z21" s="2905">
        <v>1.49</v>
      </c>
    </row>
    <row r="22" spans="2:26">
      <c r="B22" s="2905"/>
      <c r="C22" s="2906">
        <v>40639</v>
      </c>
      <c r="D22" s="2905">
        <v>5.85</v>
      </c>
      <c r="E22" s="2905">
        <v>6.31</v>
      </c>
      <c r="F22" s="2905">
        <v>6.4</v>
      </c>
      <c r="G22" s="2905">
        <v>6.65</v>
      </c>
      <c r="H22" s="2905">
        <v>6.8</v>
      </c>
      <c r="I22" s="2905">
        <v>4.2</v>
      </c>
      <c r="J22" s="2905">
        <v>4.7</v>
      </c>
      <c r="L22" s="2905"/>
      <c r="M22" s="2906">
        <v>40639</v>
      </c>
      <c r="N22" s="2905">
        <v>0.5</v>
      </c>
      <c r="O22" s="2905">
        <v>2.85</v>
      </c>
      <c r="P22" s="2905">
        <v>3.05</v>
      </c>
      <c r="Q22" s="2905">
        <v>3.25</v>
      </c>
      <c r="R22" s="2905">
        <v>4.1500000000000004</v>
      </c>
      <c r="S22" s="2905">
        <v>4.75</v>
      </c>
      <c r="T22" s="2905">
        <v>5.25</v>
      </c>
      <c r="U22" s="2905">
        <v>2.85</v>
      </c>
      <c r="V22" s="2905">
        <v>3.05</v>
      </c>
      <c r="W22" s="2905">
        <v>3.25</v>
      </c>
      <c r="X22" s="2905">
        <v>1.31</v>
      </c>
      <c r="Y22" s="2905">
        <v>0.95</v>
      </c>
      <c r="Z22" s="2905">
        <v>1.49</v>
      </c>
    </row>
    <row r="23" spans="2:26">
      <c r="B23" s="2905"/>
      <c r="C23" s="2906">
        <v>40583</v>
      </c>
      <c r="D23" s="2905">
        <v>5.6</v>
      </c>
      <c r="E23" s="2905">
        <v>6.06</v>
      </c>
      <c r="F23" s="2905">
        <v>6.1</v>
      </c>
      <c r="G23" s="2905">
        <v>6.45</v>
      </c>
      <c r="H23" s="2905">
        <v>6.6</v>
      </c>
      <c r="I23" s="2905">
        <v>4</v>
      </c>
      <c r="J23" s="2905">
        <v>4.5</v>
      </c>
      <c r="L23" s="2905"/>
      <c r="M23" s="2906">
        <v>40583</v>
      </c>
      <c r="N23" s="2905">
        <v>0.4</v>
      </c>
      <c r="O23" s="2905">
        <v>2.6</v>
      </c>
      <c r="P23" s="2905">
        <v>2.8</v>
      </c>
      <c r="Q23" s="2905">
        <v>3</v>
      </c>
      <c r="R23" s="2905">
        <v>3.9</v>
      </c>
      <c r="S23" s="2905">
        <v>4.5</v>
      </c>
      <c r="T23" s="2905">
        <v>5</v>
      </c>
      <c r="U23" s="2905">
        <v>2.6</v>
      </c>
      <c r="V23" s="2905">
        <v>2.8</v>
      </c>
      <c r="W23" s="2905">
        <v>3</v>
      </c>
      <c r="X23" s="2905">
        <v>1.21</v>
      </c>
      <c r="Y23" s="2905">
        <v>0.85</v>
      </c>
      <c r="Z23" s="2905">
        <v>1.39</v>
      </c>
    </row>
    <row r="24" spans="2:26">
      <c r="B24" s="2905"/>
      <c r="C24" s="2906">
        <v>40538</v>
      </c>
      <c r="D24" s="2905">
        <v>5.35</v>
      </c>
      <c r="E24" s="2905">
        <v>5.81</v>
      </c>
      <c r="F24" s="2905">
        <v>5.85</v>
      </c>
      <c r="G24" s="2905">
        <v>6.22</v>
      </c>
      <c r="H24" s="2905">
        <v>6.4</v>
      </c>
      <c r="I24" s="2905">
        <v>3.75</v>
      </c>
      <c r="J24" s="2905">
        <v>4.3</v>
      </c>
      <c r="L24" s="2905"/>
      <c r="M24" s="2906">
        <v>40538</v>
      </c>
      <c r="N24" s="2905">
        <v>0.36</v>
      </c>
      <c r="O24" s="2905">
        <v>2.25</v>
      </c>
      <c r="P24" s="2905">
        <v>2.5</v>
      </c>
      <c r="Q24" s="2905">
        <v>2.75</v>
      </c>
      <c r="R24" s="2905">
        <v>3.55</v>
      </c>
      <c r="S24" s="2905">
        <v>4.1500000000000004</v>
      </c>
      <c r="T24" s="2905">
        <v>4.55</v>
      </c>
      <c r="U24" s="2905">
        <v>2.16</v>
      </c>
      <c r="V24" s="2905">
        <v>2.5</v>
      </c>
      <c r="W24" s="2905">
        <v>2.85</v>
      </c>
      <c r="X24" s="2905">
        <v>1.17</v>
      </c>
      <c r="Y24" s="2905">
        <v>0.81</v>
      </c>
      <c r="Z24" s="2905">
        <v>1.35</v>
      </c>
    </row>
    <row r="25" spans="2:26">
      <c r="B25" s="2905"/>
      <c r="C25" s="2906">
        <v>40471</v>
      </c>
      <c r="D25" s="2905">
        <v>5.0999999999999996</v>
      </c>
      <c r="E25" s="2905">
        <v>5.56</v>
      </c>
      <c r="F25" s="2905">
        <v>5.6</v>
      </c>
      <c r="G25" s="2905">
        <v>5.96</v>
      </c>
      <c r="H25" s="2905">
        <v>6.14</v>
      </c>
      <c r="I25" s="2905">
        <v>3.5</v>
      </c>
      <c r="J25" s="2905">
        <v>4.05</v>
      </c>
      <c r="L25" s="2905"/>
      <c r="M25" s="2906">
        <v>40471</v>
      </c>
      <c r="N25" s="2905">
        <v>0.36</v>
      </c>
      <c r="O25" s="2905">
        <v>1.91</v>
      </c>
      <c r="P25" s="2905">
        <v>2.2000000000000002</v>
      </c>
      <c r="Q25" s="2905">
        <v>2.5</v>
      </c>
      <c r="R25" s="2905">
        <v>3.25</v>
      </c>
      <c r="S25" s="2905">
        <v>3.85</v>
      </c>
      <c r="T25" s="2905">
        <v>4.2</v>
      </c>
      <c r="U25" s="2905">
        <v>1.91</v>
      </c>
      <c r="V25" s="2905">
        <v>2.2000000000000002</v>
      </c>
      <c r="W25" s="2905">
        <v>2.5</v>
      </c>
      <c r="X25" s="2905">
        <v>1.17</v>
      </c>
      <c r="Y25" s="2905">
        <v>0.81</v>
      </c>
      <c r="Z25" s="2905">
        <v>1.35</v>
      </c>
    </row>
    <row r="26" spans="2:26">
      <c r="B26" s="2905"/>
      <c r="C26" s="2906">
        <v>39805</v>
      </c>
      <c r="D26" s="2905">
        <v>4.8600000000000003</v>
      </c>
      <c r="E26" s="2905">
        <v>5.31</v>
      </c>
      <c r="F26" s="2905">
        <v>5.4</v>
      </c>
      <c r="G26" s="2905">
        <v>5.76</v>
      </c>
      <c r="H26" s="2905">
        <v>5.94</v>
      </c>
      <c r="I26" s="2905">
        <v>3.33</v>
      </c>
      <c r="J26" s="2905">
        <v>3.87</v>
      </c>
      <c r="L26" s="2905"/>
      <c r="M26" s="2906">
        <v>39805</v>
      </c>
      <c r="N26" s="2905">
        <v>0.36</v>
      </c>
      <c r="O26" s="2905">
        <v>1.71</v>
      </c>
      <c r="P26" s="2905">
        <v>1.98</v>
      </c>
      <c r="Q26" s="2905">
        <v>2.25</v>
      </c>
      <c r="R26" s="2905">
        <v>2.79</v>
      </c>
      <c r="S26" s="2905">
        <v>3.33</v>
      </c>
      <c r="T26" s="2905">
        <v>3.6</v>
      </c>
      <c r="U26" s="2905">
        <v>1.71</v>
      </c>
      <c r="V26" s="2905">
        <v>1.98</v>
      </c>
      <c r="W26" s="2905">
        <v>2.25</v>
      </c>
      <c r="X26" s="2905">
        <v>1.17</v>
      </c>
      <c r="Y26" s="2905">
        <v>0.81</v>
      </c>
      <c r="Z26" s="2905">
        <v>1.35</v>
      </c>
    </row>
    <row r="27" spans="2:26">
      <c r="B27" s="2905"/>
      <c r="C27" s="2906">
        <v>39779</v>
      </c>
      <c r="D27" s="2905">
        <v>5.04</v>
      </c>
      <c r="E27" s="2905">
        <v>5.58</v>
      </c>
      <c r="F27" s="2905">
        <v>5.67</v>
      </c>
      <c r="G27" s="2905">
        <v>5.94</v>
      </c>
      <c r="H27" s="2905">
        <v>6.12</v>
      </c>
      <c r="I27" s="2905">
        <v>3.51</v>
      </c>
      <c r="J27" s="2905">
        <v>4.05</v>
      </c>
      <c r="L27" s="2905"/>
      <c r="M27" s="2906">
        <v>39779</v>
      </c>
      <c r="N27" s="2905">
        <v>0.36</v>
      </c>
      <c r="O27" s="2905">
        <v>1.98</v>
      </c>
      <c r="P27" s="2905">
        <v>2.25</v>
      </c>
      <c r="Q27" s="2905">
        <v>2.52</v>
      </c>
      <c r="R27" s="2905">
        <v>3.06</v>
      </c>
      <c r="S27" s="2905">
        <v>3.6</v>
      </c>
      <c r="T27" s="2905">
        <v>3.87</v>
      </c>
      <c r="U27" s="2905">
        <v>1.98</v>
      </c>
      <c r="V27" s="2905">
        <v>2.25</v>
      </c>
      <c r="W27" s="2905">
        <v>2.52</v>
      </c>
      <c r="X27" s="2905">
        <v>1.17</v>
      </c>
      <c r="Y27" s="2905">
        <v>0.81</v>
      </c>
      <c r="Z27" s="2905">
        <v>1.35</v>
      </c>
    </row>
    <row r="28" spans="2:26">
      <c r="B28" s="2905"/>
      <c r="C28" s="2906">
        <v>39751</v>
      </c>
      <c r="D28" s="2905">
        <v>6.03</v>
      </c>
      <c r="E28" s="2905">
        <v>6.66</v>
      </c>
      <c r="F28" s="2905">
        <v>6.75</v>
      </c>
      <c r="G28" s="2905">
        <v>7.02</v>
      </c>
      <c r="H28" s="2905">
        <v>7.2</v>
      </c>
      <c r="I28" s="2905">
        <v>4.05</v>
      </c>
      <c r="J28" s="2905">
        <v>4.59</v>
      </c>
      <c r="L28" s="2905"/>
      <c r="M28" s="2906">
        <v>39751</v>
      </c>
      <c r="N28" s="2905">
        <v>0.72</v>
      </c>
      <c r="O28" s="2905">
        <v>2.88</v>
      </c>
      <c r="P28" s="2905">
        <v>3.24</v>
      </c>
      <c r="Q28" s="2905">
        <v>3.6</v>
      </c>
      <c r="R28" s="2905">
        <v>4.1399999999999997</v>
      </c>
      <c r="S28" s="2905">
        <v>4.7699999999999996</v>
      </c>
      <c r="T28" s="2905">
        <v>5.13</v>
      </c>
      <c r="U28" s="2905">
        <v>2.88</v>
      </c>
      <c r="V28" s="2905">
        <v>3.24</v>
      </c>
      <c r="W28" s="2905">
        <v>3.6</v>
      </c>
      <c r="X28" s="2905">
        <v>1.53</v>
      </c>
      <c r="Y28" s="2905">
        <v>1.17</v>
      </c>
      <c r="Z28" s="2905">
        <v>1.71</v>
      </c>
    </row>
    <row r="29" spans="2:26">
      <c r="B29" s="2905"/>
      <c r="C29" s="2908">
        <v>39748</v>
      </c>
      <c r="D29" s="2905">
        <v>6.12</v>
      </c>
      <c r="E29" s="2905">
        <v>6.93</v>
      </c>
      <c r="F29" s="2905">
        <v>7.02</v>
      </c>
      <c r="G29" s="2905">
        <v>7.29</v>
      </c>
      <c r="H29" s="2905">
        <v>7.47</v>
      </c>
      <c r="I29" s="2905">
        <v>4.05</v>
      </c>
      <c r="J29" s="2905">
        <v>4.59</v>
      </c>
      <c r="L29" s="2905"/>
      <c r="M29" s="2908">
        <v>39736</v>
      </c>
      <c r="N29" s="2905">
        <v>0.72</v>
      </c>
      <c r="O29" s="2905">
        <v>3.15</v>
      </c>
      <c r="P29" s="2905">
        <v>3.51</v>
      </c>
      <c r="Q29" s="2905">
        <v>3.87</v>
      </c>
      <c r="R29" s="2905">
        <v>4.41</v>
      </c>
      <c r="S29" s="2905">
        <v>5.13</v>
      </c>
      <c r="T29" s="2905">
        <v>5.58</v>
      </c>
      <c r="U29" s="2905">
        <v>3.15</v>
      </c>
      <c r="V29" s="2905">
        <v>3.51</v>
      </c>
      <c r="W29" s="2905">
        <v>3.87</v>
      </c>
      <c r="X29" s="2905">
        <v>1.53</v>
      </c>
      <c r="Y29" s="2905">
        <v>1.17</v>
      </c>
      <c r="Z29" s="2905">
        <v>1.71</v>
      </c>
    </row>
    <row r="30" spans="2:26">
      <c r="B30" s="2905"/>
      <c r="C30" s="2906">
        <v>39730</v>
      </c>
      <c r="D30" s="2905">
        <v>6.12</v>
      </c>
      <c r="E30" s="2905">
        <v>6.93</v>
      </c>
      <c r="F30" s="2905">
        <v>7.02</v>
      </c>
      <c r="G30" s="2905">
        <v>7.29</v>
      </c>
      <c r="H30" s="2905">
        <v>7.47</v>
      </c>
      <c r="I30" s="2905">
        <v>4.32</v>
      </c>
      <c r="J30" s="2905">
        <v>4.8600000000000003</v>
      </c>
      <c r="L30" s="2905"/>
      <c r="M30" s="2906">
        <v>39730</v>
      </c>
      <c r="N30" s="2905">
        <v>0.72</v>
      </c>
      <c r="O30" s="2905">
        <v>3.15</v>
      </c>
      <c r="P30" s="2905">
        <v>3.51</v>
      </c>
      <c r="Q30" s="2905">
        <v>3.87</v>
      </c>
      <c r="R30" s="2905">
        <v>4.41</v>
      </c>
      <c r="S30" s="2905">
        <v>5.13</v>
      </c>
      <c r="T30" s="2905">
        <v>5.58</v>
      </c>
      <c r="U30" s="2905">
        <v>3.15</v>
      </c>
      <c r="V30" s="2905">
        <v>3.51</v>
      </c>
      <c r="W30" s="2905">
        <v>3.87</v>
      </c>
      <c r="X30" s="2905">
        <v>1.53</v>
      </c>
      <c r="Y30" s="2905">
        <v>1.17</v>
      </c>
      <c r="Z30" s="2905">
        <v>1.71</v>
      </c>
    </row>
    <row r="31" spans="2:26">
      <c r="B31" s="2905"/>
      <c r="C31" s="2906">
        <v>39707</v>
      </c>
      <c r="D31" s="2905">
        <v>6.21</v>
      </c>
      <c r="E31" s="2905">
        <v>7.2</v>
      </c>
      <c r="F31" s="2905">
        <v>7.29</v>
      </c>
      <c r="G31" s="2905">
        <v>7.56</v>
      </c>
      <c r="H31" s="2905">
        <v>7.74</v>
      </c>
      <c r="I31" s="2905">
        <v>4.59</v>
      </c>
      <c r="J31" s="2905">
        <v>5.13</v>
      </c>
      <c r="L31" s="2905"/>
      <c r="M31" s="2906">
        <v>39437</v>
      </c>
      <c r="N31" s="2905">
        <v>0.72</v>
      </c>
      <c r="O31" s="2905">
        <v>3.33</v>
      </c>
      <c r="P31" s="2905">
        <v>3.78</v>
      </c>
      <c r="Q31" s="2905">
        <v>4.1399999999999997</v>
      </c>
      <c r="R31" s="2905">
        <v>4.68</v>
      </c>
      <c r="S31" s="2905">
        <v>5.4</v>
      </c>
      <c r="T31" s="2905">
        <v>5.85</v>
      </c>
      <c r="U31" s="2905">
        <v>3.33</v>
      </c>
      <c r="V31" s="2905">
        <v>3.78</v>
      </c>
      <c r="W31" s="2905">
        <v>4.1399999999999997</v>
      </c>
      <c r="X31" s="2905">
        <v>1.53</v>
      </c>
      <c r="Y31" s="2905">
        <v>1.17</v>
      </c>
      <c r="Z31" s="2905">
        <v>1.71</v>
      </c>
    </row>
    <row r="32" spans="2:26">
      <c r="B32" s="2905"/>
      <c r="C32" s="2906">
        <v>39437</v>
      </c>
      <c r="D32" s="2905">
        <v>6.57</v>
      </c>
      <c r="E32" s="2905">
        <v>7.47</v>
      </c>
      <c r="F32" s="2905">
        <v>7.56</v>
      </c>
      <c r="G32" s="2905">
        <v>7.74</v>
      </c>
      <c r="H32" s="2905">
        <v>7.83</v>
      </c>
      <c r="I32" s="2905">
        <v>4.7699999999999996</v>
      </c>
      <c r="J32" s="2905">
        <v>5.22</v>
      </c>
      <c r="L32" s="2905"/>
      <c r="M32" s="2906">
        <v>39340</v>
      </c>
      <c r="N32" s="2905">
        <v>0.81</v>
      </c>
      <c r="O32" s="2905">
        <v>2.88</v>
      </c>
      <c r="P32" s="2905">
        <v>3.42</v>
      </c>
      <c r="Q32" s="2905">
        <v>3.87</v>
      </c>
      <c r="R32" s="2905">
        <v>4.5</v>
      </c>
      <c r="S32" s="2905">
        <v>5.22</v>
      </c>
      <c r="T32" s="2905">
        <v>5.76</v>
      </c>
      <c r="U32" s="2905">
        <v>2.88</v>
      </c>
      <c r="V32" s="2905">
        <v>3.42</v>
      </c>
      <c r="W32" s="2905">
        <v>3.87</v>
      </c>
      <c r="X32" s="2905">
        <v>1.53</v>
      </c>
      <c r="Y32" s="2905">
        <v>1.17</v>
      </c>
      <c r="Z32" s="2905">
        <v>1.71</v>
      </c>
    </row>
    <row r="33" spans="2:26">
      <c r="B33" s="2905"/>
      <c r="C33" s="2906">
        <v>39340</v>
      </c>
      <c r="D33" s="2905">
        <v>6.48</v>
      </c>
      <c r="E33" s="2905">
        <v>7.29</v>
      </c>
      <c r="F33" s="2905">
        <v>7.47</v>
      </c>
      <c r="G33" s="2905">
        <v>7.65</v>
      </c>
      <c r="H33" s="2905">
        <v>7.83</v>
      </c>
      <c r="I33" s="2905">
        <v>4.7699999999999996</v>
      </c>
      <c r="J33" s="2905">
        <v>5.22</v>
      </c>
      <c r="L33" s="2905"/>
      <c r="M33" s="2906">
        <v>39316</v>
      </c>
      <c r="N33" s="2905">
        <v>0.81</v>
      </c>
      <c r="O33" s="2905">
        <v>2.61</v>
      </c>
      <c r="P33" s="2905">
        <v>3.15</v>
      </c>
      <c r="Q33" s="2905">
        <v>3.6</v>
      </c>
      <c r="R33" s="2905">
        <v>4.2300000000000004</v>
      </c>
      <c r="S33" s="2905">
        <v>4.95</v>
      </c>
      <c r="T33" s="2905">
        <v>5.49</v>
      </c>
      <c r="U33" s="2905">
        <v>2.61</v>
      </c>
      <c r="V33" s="2905">
        <v>3.15</v>
      </c>
      <c r="W33" s="2905">
        <v>3.6</v>
      </c>
      <c r="X33" s="2905">
        <v>1.53</v>
      </c>
      <c r="Y33" s="2905">
        <v>1.17</v>
      </c>
      <c r="Z33" s="2905">
        <v>1.71</v>
      </c>
    </row>
    <row r="34" spans="2:26">
      <c r="B34" s="2905"/>
      <c r="C34" s="2906">
        <v>39316</v>
      </c>
      <c r="D34" s="2905">
        <v>6.21</v>
      </c>
      <c r="E34" s="2905">
        <v>7.02</v>
      </c>
      <c r="F34" s="2905">
        <v>7.2</v>
      </c>
      <c r="G34" s="2905">
        <v>7.38</v>
      </c>
      <c r="H34" s="2905">
        <v>7.56</v>
      </c>
      <c r="I34" s="2905">
        <v>4.59</v>
      </c>
      <c r="J34" s="2905">
        <v>5.04</v>
      </c>
      <c r="L34" s="2905"/>
      <c r="M34" s="2906">
        <v>39284</v>
      </c>
      <c r="N34" s="2905">
        <v>0.81</v>
      </c>
      <c r="O34" s="2905">
        <v>2.34</v>
      </c>
      <c r="P34" s="2905">
        <v>2.88</v>
      </c>
      <c r="Q34" s="2905">
        <v>3.33</v>
      </c>
      <c r="R34" s="2905">
        <v>3.96</v>
      </c>
      <c r="S34" s="2905">
        <v>4.68</v>
      </c>
      <c r="T34" s="2905">
        <v>5.22</v>
      </c>
      <c r="U34" s="2905">
        <v>2.34</v>
      </c>
      <c r="V34" s="2905">
        <v>2.88</v>
      </c>
      <c r="W34" s="2905">
        <v>3.33</v>
      </c>
      <c r="X34" s="2905">
        <v>1.53</v>
      </c>
      <c r="Y34" s="2905">
        <v>1.17</v>
      </c>
      <c r="Z34" s="2905">
        <v>1.71</v>
      </c>
    </row>
    <row r="35" spans="2:26">
      <c r="B35" s="2905"/>
      <c r="C35" s="2906">
        <v>39284</v>
      </c>
      <c r="D35" s="2905">
        <v>6.03</v>
      </c>
      <c r="E35" s="2905">
        <v>6.84</v>
      </c>
      <c r="F35" s="2905">
        <v>7.02</v>
      </c>
      <c r="G35" s="2905">
        <v>7.2</v>
      </c>
      <c r="H35" s="2905">
        <v>7.38</v>
      </c>
      <c r="I35" s="2905">
        <v>4.5</v>
      </c>
      <c r="J35" s="2905">
        <v>4.95</v>
      </c>
      <c r="L35" s="2905"/>
      <c r="M35" s="2906">
        <v>39221</v>
      </c>
      <c r="N35" s="2905">
        <v>0.72</v>
      </c>
      <c r="O35" s="2905">
        <v>2.0699999999999998</v>
      </c>
      <c r="P35" s="2905">
        <v>2.61</v>
      </c>
      <c r="Q35" s="2905">
        <v>3.06</v>
      </c>
      <c r="R35" s="2905">
        <v>3.69</v>
      </c>
      <c r="S35" s="2905">
        <v>4.41</v>
      </c>
      <c r="T35" s="2905">
        <v>4.95</v>
      </c>
      <c r="U35" s="2905">
        <v>2.0699999999999998</v>
      </c>
      <c r="V35" s="2905">
        <v>2.61</v>
      </c>
      <c r="W35" s="2905">
        <v>3.06</v>
      </c>
      <c r="X35" s="2905">
        <v>1.44</v>
      </c>
      <c r="Y35" s="2905">
        <v>1.08</v>
      </c>
      <c r="Z35" s="2905">
        <v>1.62</v>
      </c>
    </row>
    <row r="36" spans="2:26">
      <c r="B36" s="2905"/>
      <c r="C36" s="2906">
        <v>39221</v>
      </c>
      <c r="D36" s="2905">
        <v>5.85</v>
      </c>
      <c r="E36" s="2905">
        <v>6.57</v>
      </c>
      <c r="F36" s="2905">
        <v>6.75</v>
      </c>
      <c r="G36" s="2905">
        <v>6.93</v>
      </c>
      <c r="H36" s="2905">
        <v>7.2</v>
      </c>
      <c r="I36" s="2905">
        <v>4.41</v>
      </c>
      <c r="J36" s="2905">
        <v>4.8600000000000003</v>
      </c>
      <c r="L36" s="2905"/>
      <c r="M36" s="2906">
        <v>39159</v>
      </c>
      <c r="N36" s="2905">
        <v>0.72</v>
      </c>
      <c r="O36" s="2905">
        <v>1.98</v>
      </c>
      <c r="P36" s="2905">
        <v>2.4300000000000002</v>
      </c>
      <c r="Q36" s="2905">
        <v>2.79</v>
      </c>
      <c r="R36" s="2905">
        <v>3.33</v>
      </c>
      <c r="S36" s="2905">
        <v>3.96</v>
      </c>
      <c r="T36" s="2905">
        <v>4.41</v>
      </c>
      <c r="U36" s="2905">
        <v>1.98</v>
      </c>
      <c r="V36" s="2905">
        <v>2.4300000000000002</v>
      </c>
      <c r="W36" s="2905">
        <v>2.79</v>
      </c>
      <c r="X36" s="2905">
        <v>1.44</v>
      </c>
      <c r="Y36" s="2905">
        <v>1.08</v>
      </c>
      <c r="Z36" s="2905">
        <v>1.62</v>
      </c>
    </row>
    <row r="37" spans="2:26">
      <c r="B37" s="2905"/>
      <c r="C37" s="2906">
        <v>39159</v>
      </c>
      <c r="D37" s="2905">
        <v>5.67</v>
      </c>
      <c r="E37" s="2905">
        <v>6.39</v>
      </c>
      <c r="F37" s="2905">
        <v>6.57</v>
      </c>
      <c r="G37" s="2905">
        <v>6.75</v>
      </c>
      <c r="H37" s="2905">
        <v>7.11</v>
      </c>
      <c r="I37" s="2905">
        <v>4.32</v>
      </c>
      <c r="J37" s="2905">
        <v>4.7699999999999996</v>
      </c>
      <c r="L37" s="2905"/>
      <c r="M37" s="2906">
        <v>38948</v>
      </c>
      <c r="N37" s="2905">
        <v>0.72</v>
      </c>
      <c r="O37" s="2905">
        <v>1.8</v>
      </c>
      <c r="P37" s="2905">
        <v>2.25</v>
      </c>
      <c r="Q37" s="2905">
        <v>2.52</v>
      </c>
      <c r="R37" s="2905">
        <v>3.06</v>
      </c>
      <c r="S37" s="2905">
        <v>3.69</v>
      </c>
      <c r="T37" s="2905">
        <v>4.1399999999999997</v>
      </c>
      <c r="U37" s="2905">
        <v>1.8</v>
      </c>
      <c r="V37" s="2905">
        <v>2.25</v>
      </c>
      <c r="W37" s="2905">
        <v>2.52</v>
      </c>
      <c r="X37" s="2905">
        <v>1.44</v>
      </c>
      <c r="Y37" s="2905">
        <v>1.08</v>
      </c>
      <c r="Z37" s="2905">
        <v>1.62</v>
      </c>
    </row>
    <row r="38" spans="2:26">
      <c r="B38" s="2905"/>
      <c r="C38" s="2906">
        <v>38948</v>
      </c>
      <c r="D38" s="2905">
        <v>5.58</v>
      </c>
      <c r="E38" s="2905">
        <v>6.12</v>
      </c>
      <c r="F38" s="2905">
        <v>6.3</v>
      </c>
      <c r="G38" s="2905">
        <v>6.48</v>
      </c>
      <c r="H38" s="2905">
        <v>6.84</v>
      </c>
      <c r="I38" s="2905">
        <v>4.1399999999999997</v>
      </c>
      <c r="J38" s="2905">
        <v>4.59</v>
      </c>
      <c r="L38" s="2905"/>
      <c r="M38" s="2906">
        <v>38289</v>
      </c>
      <c r="N38" s="2905">
        <v>0.72</v>
      </c>
      <c r="O38" s="2905">
        <v>1.71</v>
      </c>
      <c r="P38" s="2905">
        <v>2.0699999999999998</v>
      </c>
      <c r="Q38" s="2905">
        <v>2.25</v>
      </c>
      <c r="R38" s="2905">
        <v>2.7</v>
      </c>
      <c r="S38" s="2905">
        <v>3.24</v>
      </c>
      <c r="T38" s="2905">
        <v>3.6</v>
      </c>
      <c r="U38" s="2905">
        <v>1.71</v>
      </c>
      <c r="V38" s="2905">
        <v>2.0699999999999998</v>
      </c>
      <c r="W38" s="2905">
        <v>2.25</v>
      </c>
      <c r="X38" s="2905">
        <v>1.44</v>
      </c>
      <c r="Y38" s="2905">
        <v>1.08</v>
      </c>
      <c r="Z38" s="2905">
        <v>1.62</v>
      </c>
    </row>
    <row r="39" spans="2:26">
      <c r="B39" s="2905"/>
      <c r="C39" s="2906">
        <v>38835</v>
      </c>
      <c r="D39" s="2905">
        <v>5.4</v>
      </c>
      <c r="E39" s="2905">
        <v>5.85</v>
      </c>
      <c r="F39" s="2905">
        <v>6.03</v>
      </c>
      <c r="G39" s="2905">
        <v>6.12</v>
      </c>
      <c r="H39" s="2905">
        <v>6.39</v>
      </c>
      <c r="I39" s="2905">
        <v>4.1399999999999997</v>
      </c>
      <c r="J39" s="2905">
        <v>4.59</v>
      </c>
      <c r="L39" s="2905"/>
      <c r="M39" s="2906">
        <v>37308</v>
      </c>
      <c r="N39" s="2905">
        <v>0.72</v>
      </c>
      <c r="O39" s="2905">
        <v>1.71</v>
      </c>
      <c r="P39" s="2905">
        <v>1.89</v>
      </c>
      <c r="Q39" s="2905">
        <v>1.98</v>
      </c>
      <c r="R39" s="2905">
        <v>2.25</v>
      </c>
      <c r="S39" s="2905">
        <v>2.52</v>
      </c>
      <c r="T39" s="2905">
        <v>2.79</v>
      </c>
      <c r="U39" s="2905">
        <v>1.71</v>
      </c>
      <c r="V39" s="2905">
        <v>1.89</v>
      </c>
      <c r="W39" s="2905">
        <v>1.98</v>
      </c>
      <c r="X39" s="2905">
        <v>1.44</v>
      </c>
      <c r="Y39" s="2905">
        <v>1.08</v>
      </c>
      <c r="Z39" s="2905">
        <v>1.62</v>
      </c>
    </row>
    <row r="40" spans="2:26">
      <c r="B40" s="2905"/>
      <c r="C40" s="2906">
        <v>38428</v>
      </c>
      <c r="D40" s="2905">
        <v>5.22</v>
      </c>
      <c r="E40" s="2905">
        <v>5.58</v>
      </c>
      <c r="F40" s="2905">
        <v>5.76</v>
      </c>
      <c r="G40" s="2905">
        <v>5.85</v>
      </c>
      <c r="H40" s="2905">
        <v>6.12</v>
      </c>
      <c r="I40" s="2905">
        <v>3.96</v>
      </c>
      <c r="J40" s="2905">
        <v>4.41</v>
      </c>
      <c r="L40" s="2905"/>
      <c r="M40" s="2906">
        <v>36321</v>
      </c>
      <c r="N40" s="2905">
        <v>0.99</v>
      </c>
      <c r="O40" s="2905">
        <v>1.98</v>
      </c>
      <c r="P40" s="2905">
        <v>2.16</v>
      </c>
      <c r="Q40" s="2905">
        <v>2.25</v>
      </c>
      <c r="R40" s="2905">
        <v>2.4300000000000002</v>
      </c>
      <c r="S40" s="2905">
        <v>2.7</v>
      </c>
      <c r="T40" s="2905">
        <v>2.88</v>
      </c>
      <c r="U40" s="2905">
        <v>1.98</v>
      </c>
      <c r="V40" s="2905">
        <v>2.16</v>
      </c>
      <c r="W40" s="2905">
        <v>2.25</v>
      </c>
      <c r="X40" s="2905">
        <v>1.71</v>
      </c>
      <c r="Y40" s="2905">
        <v>1.35</v>
      </c>
      <c r="Z40" s="2905">
        <v>1.89</v>
      </c>
    </row>
    <row r="41" spans="2:26">
      <c r="B41" s="2905"/>
      <c r="C41" s="2906">
        <v>38289</v>
      </c>
      <c r="D41" s="2905">
        <v>5.22</v>
      </c>
      <c r="E41" s="2905">
        <v>5.58</v>
      </c>
      <c r="F41" s="2905">
        <v>5.76</v>
      </c>
      <c r="G41" s="2905">
        <v>5.85</v>
      </c>
      <c r="H41" s="2905">
        <v>6.12</v>
      </c>
      <c r="I41" s="2905">
        <v>3.78</v>
      </c>
      <c r="J41" s="2905">
        <v>4.2300000000000004</v>
      </c>
      <c r="L41" s="2905"/>
      <c r="M41" s="2906">
        <v>36136</v>
      </c>
      <c r="N41" s="2905">
        <v>1.44</v>
      </c>
      <c r="O41" s="2905">
        <v>2.79</v>
      </c>
      <c r="P41" s="2905">
        <v>3.33</v>
      </c>
      <c r="Q41" s="2905">
        <v>3.78</v>
      </c>
      <c r="R41" s="2905">
        <v>3.96</v>
      </c>
      <c r="S41" s="2905">
        <v>4.1399999999999997</v>
      </c>
      <c r="T41" s="2905">
        <v>4.5</v>
      </c>
      <c r="U41" s="2905">
        <v>3.33</v>
      </c>
      <c r="V41" s="2905">
        <v>3.78</v>
      </c>
      <c r="W41" s="2905">
        <v>4.1399999999999997</v>
      </c>
      <c r="X41" s="2905">
        <v>2.16</v>
      </c>
      <c r="Y41" s="2905">
        <v>1.8</v>
      </c>
      <c r="Z41" s="2905">
        <v>2.34</v>
      </c>
    </row>
    <row r="42" spans="2:26">
      <c r="B42" s="2905"/>
      <c r="C42" s="2906">
        <v>37308</v>
      </c>
      <c r="D42" s="2905">
        <v>5.04</v>
      </c>
      <c r="E42" s="2905">
        <v>5.31</v>
      </c>
      <c r="F42" s="2905">
        <v>5.49</v>
      </c>
      <c r="G42" s="2905">
        <v>5.58</v>
      </c>
      <c r="H42" s="2905">
        <v>5.76</v>
      </c>
      <c r="I42" s="2905">
        <v>3.6</v>
      </c>
      <c r="J42" s="2905">
        <v>4.05</v>
      </c>
      <c r="L42" s="2905"/>
      <c r="M42" s="2906">
        <v>35977</v>
      </c>
      <c r="N42" s="2905">
        <v>1.44</v>
      </c>
      <c r="O42" s="2905">
        <v>2.79</v>
      </c>
      <c r="P42" s="2905">
        <v>3.96</v>
      </c>
      <c r="Q42" s="2905">
        <v>4.7699999999999996</v>
      </c>
      <c r="R42" s="2905">
        <v>4.8600000000000003</v>
      </c>
      <c r="S42" s="2905">
        <v>4.95</v>
      </c>
      <c r="T42" s="2905">
        <v>5.22</v>
      </c>
      <c r="U42" s="2905">
        <v>3.96</v>
      </c>
      <c r="V42" s="2905">
        <v>4.7699999999999996</v>
      </c>
      <c r="W42" s="2905">
        <v>4.95</v>
      </c>
      <c r="X42" s="2905" t="s">
        <v>2817</v>
      </c>
      <c r="Y42" s="2905" t="s">
        <v>2817</v>
      </c>
      <c r="Z42" s="2905" t="s">
        <v>2817</v>
      </c>
    </row>
    <row r="43" spans="2:26">
      <c r="B43" s="2905"/>
      <c r="C43" s="2906">
        <v>36321</v>
      </c>
      <c r="D43" s="2905">
        <v>5.58</v>
      </c>
      <c r="E43" s="2905">
        <v>5.85</v>
      </c>
      <c r="F43" s="2905">
        <v>5.94</v>
      </c>
      <c r="G43" s="2905">
        <v>6.03</v>
      </c>
      <c r="H43" s="2905">
        <v>6.21</v>
      </c>
      <c r="I43" s="2905">
        <v>4.1399999999999997</v>
      </c>
      <c r="J43" s="2905">
        <v>4.59</v>
      </c>
      <c r="L43" s="2905"/>
      <c r="M43" s="2906">
        <v>35879</v>
      </c>
      <c r="N43" s="2905">
        <v>1.71</v>
      </c>
      <c r="O43" s="2905">
        <v>2.88</v>
      </c>
      <c r="P43" s="2905">
        <v>4.1399999999999997</v>
      </c>
      <c r="Q43" s="2905">
        <v>5.22</v>
      </c>
      <c r="R43" s="2905">
        <v>5.58</v>
      </c>
      <c r="S43" s="2905">
        <v>6.21</v>
      </c>
      <c r="T43" s="2905">
        <v>6.66</v>
      </c>
      <c r="U43" s="2905">
        <v>4.1399999999999997</v>
      </c>
      <c r="V43" s="2905">
        <v>5.22</v>
      </c>
      <c r="W43" s="2905">
        <v>6.21</v>
      </c>
      <c r="X43" s="2905" t="s">
        <v>2817</v>
      </c>
      <c r="Y43" s="2905" t="s">
        <v>2817</v>
      </c>
      <c r="Z43" s="2905" t="s">
        <v>2817</v>
      </c>
    </row>
    <row r="44" spans="2:26">
      <c r="B44" s="2905"/>
      <c r="C44" s="2906">
        <v>36136</v>
      </c>
      <c r="D44" s="2905">
        <v>6.12</v>
      </c>
      <c r="E44" s="2905">
        <v>6.39</v>
      </c>
      <c r="F44" s="2905">
        <v>6.66</v>
      </c>
      <c r="G44" s="2905">
        <v>7.2</v>
      </c>
      <c r="H44" s="2905">
        <v>7.56</v>
      </c>
      <c r="I44" s="2905">
        <v>0</v>
      </c>
      <c r="J44" s="2905">
        <v>0</v>
      </c>
      <c r="L44" s="2905"/>
      <c r="M44" s="2906">
        <v>35726</v>
      </c>
      <c r="N44" s="2905">
        <v>1.71</v>
      </c>
      <c r="O44" s="2905">
        <v>2.88</v>
      </c>
      <c r="P44" s="2905">
        <v>4.1399999999999997</v>
      </c>
      <c r="Q44" s="2905">
        <v>5.67</v>
      </c>
      <c r="R44" s="2905">
        <v>5.94</v>
      </c>
      <c r="S44" s="2905">
        <v>6.21</v>
      </c>
      <c r="T44" s="2905">
        <v>6.66</v>
      </c>
      <c r="U44" s="2905">
        <v>4.1399999999999997</v>
      </c>
      <c r="V44" s="2905">
        <v>5.67</v>
      </c>
      <c r="W44" s="2905">
        <v>6.21</v>
      </c>
      <c r="X44" s="2905" t="s">
        <v>2817</v>
      </c>
      <c r="Y44" s="2905" t="s">
        <v>2817</v>
      </c>
      <c r="Z44" s="2905" t="s">
        <v>2817</v>
      </c>
    </row>
    <row r="45" spans="2:26">
      <c r="B45" s="2905"/>
      <c r="C45" s="2906">
        <v>35977</v>
      </c>
      <c r="D45" s="2905">
        <v>6.57</v>
      </c>
      <c r="E45" s="2905">
        <v>6.93</v>
      </c>
      <c r="F45" s="2905">
        <v>7.11</v>
      </c>
      <c r="G45" s="2905">
        <v>7.65</v>
      </c>
      <c r="H45" s="2905">
        <v>8.01</v>
      </c>
      <c r="I45" s="2905">
        <v>0</v>
      </c>
      <c r="J45" s="2905">
        <v>0</v>
      </c>
      <c r="L45" s="2905"/>
      <c r="M45" s="2906">
        <v>35300</v>
      </c>
      <c r="N45" s="2905">
        <v>1.98</v>
      </c>
      <c r="O45" s="2905">
        <v>3.33</v>
      </c>
      <c r="P45" s="2905">
        <v>5.4</v>
      </c>
      <c r="Q45" s="2905">
        <v>7.47</v>
      </c>
      <c r="R45" s="2905">
        <v>7.92</v>
      </c>
      <c r="S45" s="2905">
        <v>8.2799999999999994</v>
      </c>
      <c r="T45" s="2905">
        <v>9</v>
      </c>
      <c r="U45" s="2905">
        <v>5.4</v>
      </c>
      <c r="V45" s="2905">
        <v>7.47</v>
      </c>
      <c r="W45" s="2905">
        <v>8.2799999999999994</v>
      </c>
      <c r="X45" s="2905" t="s">
        <v>2817</v>
      </c>
      <c r="Y45" s="2905" t="s">
        <v>2817</v>
      </c>
      <c r="Z45" s="2905" t="s">
        <v>2817</v>
      </c>
    </row>
    <row r="46" spans="2:26">
      <c r="B46" s="2905"/>
      <c r="C46" s="2906">
        <v>35879</v>
      </c>
      <c r="D46" s="2905">
        <v>7.02</v>
      </c>
      <c r="E46" s="2905">
        <v>7.92</v>
      </c>
      <c r="F46" s="2905">
        <v>9</v>
      </c>
      <c r="G46" s="2905">
        <v>9.7200000000000006</v>
      </c>
      <c r="H46" s="2905">
        <v>10.35</v>
      </c>
      <c r="I46" s="2905">
        <v>0</v>
      </c>
      <c r="J46" s="2905">
        <v>0</v>
      </c>
      <c r="L46" s="2905"/>
      <c r="M46" s="2906">
        <v>35186</v>
      </c>
      <c r="N46" s="2905">
        <v>2.97</v>
      </c>
      <c r="O46" s="2905">
        <v>4.8600000000000003</v>
      </c>
      <c r="P46" s="2905">
        <v>7.2</v>
      </c>
      <c r="Q46" s="2905">
        <v>9.18</v>
      </c>
      <c r="R46" s="2905">
        <v>9.9</v>
      </c>
      <c r="S46" s="2905">
        <v>10.8</v>
      </c>
      <c r="T46" s="2905">
        <v>12.06</v>
      </c>
      <c r="U46" s="2905">
        <v>7.2</v>
      </c>
      <c r="V46" s="2905">
        <v>9.18</v>
      </c>
      <c r="W46" s="2905">
        <v>10.8</v>
      </c>
      <c r="X46" s="2905" t="s">
        <v>2817</v>
      </c>
      <c r="Y46" s="2905" t="s">
        <v>2817</v>
      </c>
      <c r="Z46" s="2905" t="s">
        <v>2817</v>
      </c>
    </row>
    <row r="47" spans="2:26">
      <c r="B47" s="2905"/>
      <c r="C47" s="2906">
        <v>35726</v>
      </c>
      <c r="D47" s="2905">
        <v>7.65</v>
      </c>
      <c r="E47" s="2905">
        <v>8.64</v>
      </c>
      <c r="F47" s="2905">
        <v>9.36</v>
      </c>
      <c r="G47" s="2905">
        <v>9.9</v>
      </c>
      <c r="H47" s="2905">
        <v>10.53</v>
      </c>
      <c r="I47" s="2905">
        <v>0</v>
      </c>
      <c r="J47" s="2905">
        <v>0</v>
      </c>
      <c r="L47" s="2905"/>
      <c r="M47" s="2906">
        <v>34161</v>
      </c>
      <c r="N47" s="2905">
        <v>3.15</v>
      </c>
      <c r="O47" s="2905">
        <v>6.66</v>
      </c>
      <c r="P47" s="2905">
        <v>9</v>
      </c>
      <c r="Q47" s="2905">
        <v>10.98</v>
      </c>
      <c r="R47" s="2905">
        <v>11.7</v>
      </c>
      <c r="S47" s="2905">
        <v>12.24</v>
      </c>
      <c r="T47" s="2905">
        <v>13.86</v>
      </c>
      <c r="U47" s="2905">
        <v>9</v>
      </c>
      <c r="V47" s="2905">
        <v>10.98</v>
      </c>
      <c r="W47" s="2905">
        <v>12.24</v>
      </c>
      <c r="X47" s="2905" t="s">
        <v>2817</v>
      </c>
      <c r="Y47" s="2905" t="s">
        <v>2817</v>
      </c>
      <c r="Z47" s="2905" t="s">
        <v>2817</v>
      </c>
    </row>
    <row r="48" spans="2:26">
      <c r="B48" s="2905"/>
      <c r="C48" s="2906">
        <v>35300</v>
      </c>
      <c r="D48" s="2905">
        <v>9.18</v>
      </c>
      <c r="E48" s="2905">
        <v>10.08</v>
      </c>
      <c r="F48" s="2905">
        <v>10.98</v>
      </c>
      <c r="G48" s="2905">
        <v>11.7</v>
      </c>
      <c r="H48" s="2905">
        <v>12.42</v>
      </c>
      <c r="I48" s="2905">
        <v>0</v>
      </c>
      <c r="J48" s="2905">
        <v>0</v>
      </c>
      <c r="L48" s="2905"/>
      <c r="M48" s="2906">
        <v>34104</v>
      </c>
      <c r="N48" s="2905">
        <v>2.16</v>
      </c>
      <c r="O48" s="2905">
        <v>4.8600000000000003</v>
      </c>
      <c r="P48" s="2905">
        <v>7.2</v>
      </c>
      <c r="Q48" s="2905">
        <v>9.18</v>
      </c>
      <c r="R48" s="2905">
        <v>9.9</v>
      </c>
      <c r="S48" s="2905">
        <v>10.8</v>
      </c>
      <c r="T48" s="2905">
        <v>12.06</v>
      </c>
      <c r="U48" s="2905">
        <v>7.2</v>
      </c>
      <c r="V48" s="2905">
        <v>9.18</v>
      </c>
      <c r="W48" s="2905">
        <v>10.8</v>
      </c>
      <c r="X48" s="2905" t="s">
        <v>2817</v>
      </c>
      <c r="Y48" s="2905" t="s">
        <v>2817</v>
      </c>
      <c r="Z48" s="2905" t="s">
        <v>2817</v>
      </c>
    </row>
    <row r="49" spans="2:26">
      <c r="B49" s="2905"/>
      <c r="C49" s="2906">
        <v>35186</v>
      </c>
      <c r="D49" s="2905">
        <v>9.7200000000000006</v>
      </c>
      <c r="E49" s="2905">
        <v>10.98</v>
      </c>
      <c r="F49" s="2905">
        <v>13.14</v>
      </c>
      <c r="G49" s="2905">
        <v>14.94</v>
      </c>
      <c r="H49" s="2905">
        <v>15.12</v>
      </c>
      <c r="I49" s="2905">
        <v>0</v>
      </c>
      <c r="J49" s="2905">
        <v>0</v>
      </c>
      <c r="L49" s="2905"/>
      <c r="M49" s="2906">
        <v>33349</v>
      </c>
      <c r="N49" s="2905">
        <v>1.8</v>
      </c>
      <c r="O49" s="2905">
        <v>3.24</v>
      </c>
      <c r="P49" s="2905">
        <v>5.4</v>
      </c>
      <c r="Q49" s="2905">
        <v>7.56</v>
      </c>
      <c r="R49" s="2905">
        <v>7.92</v>
      </c>
      <c r="S49" s="2905">
        <v>8.2799999999999994</v>
      </c>
      <c r="T49" s="2905">
        <v>9</v>
      </c>
      <c r="U49" s="2905">
        <v>6.12</v>
      </c>
      <c r="V49" s="2905">
        <v>6.84</v>
      </c>
      <c r="W49" s="2905">
        <v>7.56</v>
      </c>
      <c r="X49" s="2905" t="s">
        <v>2817</v>
      </c>
      <c r="Y49" s="2905" t="s">
        <v>2817</v>
      </c>
      <c r="Z49" s="2905" t="s">
        <v>2817</v>
      </c>
    </row>
    <row r="50" spans="2:26">
      <c r="B50" s="2905"/>
      <c r="C50" s="2906">
        <v>34881</v>
      </c>
      <c r="D50" s="2905">
        <v>10.08</v>
      </c>
      <c r="E50" s="2905">
        <v>12.06</v>
      </c>
      <c r="F50" s="2905">
        <v>13.5</v>
      </c>
      <c r="G50" s="2905">
        <v>15.12</v>
      </c>
      <c r="H50" s="2905">
        <v>15.3</v>
      </c>
      <c r="I50" s="2905">
        <v>0</v>
      </c>
      <c r="J50" s="2905">
        <v>0</v>
      </c>
      <c r="L50" s="2905"/>
      <c r="M50" s="2906">
        <v>33106</v>
      </c>
      <c r="N50" s="2905">
        <v>2.16</v>
      </c>
      <c r="O50" s="2905">
        <v>4.32</v>
      </c>
      <c r="P50" s="2905">
        <v>6.48</v>
      </c>
      <c r="Q50" s="2905">
        <v>8.64</v>
      </c>
      <c r="R50" s="2905">
        <v>9.36</v>
      </c>
      <c r="S50" s="2905">
        <v>10.08</v>
      </c>
      <c r="T50" s="2905">
        <v>11.52</v>
      </c>
      <c r="U50" s="2905">
        <v>7.2</v>
      </c>
      <c r="V50" s="2905">
        <v>8.64</v>
      </c>
      <c r="W50" s="2905">
        <v>10.08</v>
      </c>
      <c r="X50" s="2905" t="s">
        <v>2817</v>
      </c>
      <c r="Y50" s="2905" t="s">
        <v>2817</v>
      </c>
      <c r="Z50" s="2905" t="s">
        <v>2817</v>
      </c>
    </row>
    <row r="51" spans="2:26">
      <c r="B51" s="2905"/>
      <c r="C51" s="2906">
        <v>34700</v>
      </c>
      <c r="D51" s="2905">
        <v>9</v>
      </c>
      <c r="E51" s="2905">
        <v>10.98</v>
      </c>
      <c r="F51" s="2905">
        <v>12.96</v>
      </c>
      <c r="G51" s="2905">
        <v>14.58</v>
      </c>
      <c r="H51" s="2905">
        <v>14.76</v>
      </c>
      <c r="I51" s="2905">
        <v>0</v>
      </c>
      <c r="J51" s="2905">
        <v>0</v>
      </c>
      <c r="L51" s="2905"/>
      <c r="M51" s="2906">
        <v>32978</v>
      </c>
      <c r="N51" s="2905">
        <v>2.88</v>
      </c>
      <c r="O51" s="2905">
        <v>6.3</v>
      </c>
      <c r="P51" s="2905">
        <v>7.74</v>
      </c>
      <c r="Q51" s="2905">
        <v>10.08</v>
      </c>
      <c r="R51" s="2905">
        <v>10.98</v>
      </c>
      <c r="S51" s="2905">
        <v>11.88</v>
      </c>
      <c r="T51" s="2905">
        <v>13.68</v>
      </c>
      <c r="U51" s="2905" t="s">
        <v>2817</v>
      </c>
      <c r="V51" s="2905" t="s">
        <v>2817</v>
      </c>
      <c r="W51" s="2905" t="s">
        <v>2817</v>
      </c>
      <c r="X51" s="2905" t="s">
        <v>2817</v>
      </c>
      <c r="Y51" s="2905" t="s">
        <v>2817</v>
      </c>
      <c r="Z51" s="2905" t="s">
        <v>2817</v>
      </c>
    </row>
    <row r="52" spans="2:26">
      <c r="B52" s="2905"/>
      <c r="C52" s="2906">
        <v>34161</v>
      </c>
      <c r="D52" s="2905">
        <v>9</v>
      </c>
      <c r="E52" s="2905">
        <v>10.98</v>
      </c>
      <c r="F52" s="2905">
        <v>12.24</v>
      </c>
      <c r="G52" s="2905">
        <v>13.86</v>
      </c>
      <c r="H52" s="2905">
        <v>14.04</v>
      </c>
      <c r="I52" s="2905">
        <v>0</v>
      </c>
      <c r="J52" s="2905">
        <v>0</v>
      </c>
      <c r="L52" s="2905"/>
      <c r="M52" s="2906"/>
      <c r="N52" s="2905"/>
      <c r="O52" s="2905"/>
      <c r="P52" s="2905"/>
      <c r="Q52" s="2905"/>
      <c r="R52" s="2905"/>
      <c r="S52" s="2905"/>
      <c r="T52" s="2905"/>
      <c r="U52" s="2905"/>
      <c r="V52" s="2905"/>
      <c r="W52" s="2905"/>
      <c r="X52" s="2905"/>
      <c r="Y52" s="2905"/>
      <c r="Z52" s="2905"/>
    </row>
    <row r="53" spans="2:26">
      <c r="B53" s="2905"/>
      <c r="C53" s="2906">
        <v>34104</v>
      </c>
      <c r="D53" s="2905">
        <v>8.82</v>
      </c>
      <c r="E53" s="2905">
        <v>9.36</v>
      </c>
      <c r="F53" s="2905">
        <v>10.8</v>
      </c>
      <c r="G53" s="2905">
        <v>12.06</v>
      </c>
      <c r="H53" s="2905">
        <v>12.24</v>
      </c>
      <c r="I53" s="2905">
        <v>0</v>
      </c>
      <c r="J53" s="2905">
        <v>0</v>
      </c>
      <c r="L53" s="2905"/>
      <c r="M53" s="2906"/>
      <c r="N53" s="2905"/>
      <c r="O53" s="2905"/>
      <c r="P53" s="2905"/>
      <c r="Q53" s="2905"/>
      <c r="R53" s="2905"/>
      <c r="S53" s="2905"/>
      <c r="T53" s="2905"/>
      <c r="U53" s="2905"/>
      <c r="V53" s="2905"/>
      <c r="W53" s="2905"/>
      <c r="X53" s="2905"/>
      <c r="Y53" s="2905"/>
      <c r="Z53" s="2905"/>
    </row>
    <row r="54" spans="2:26">
      <c r="B54" s="2905"/>
      <c r="C54" s="2906">
        <v>33349</v>
      </c>
      <c r="D54" s="2905">
        <v>8.1</v>
      </c>
      <c r="E54" s="2905">
        <v>8.64</v>
      </c>
      <c r="F54" s="2905">
        <v>9</v>
      </c>
      <c r="G54" s="2905">
        <v>9.5399999999999991</v>
      </c>
      <c r="H54" s="2905">
        <v>9.7200000000000006</v>
      </c>
      <c r="I54" s="2905">
        <v>0</v>
      </c>
      <c r="J54" s="2905">
        <v>0</v>
      </c>
      <c r="L54" s="2905"/>
      <c r="M54" s="2906"/>
      <c r="N54" s="2905"/>
      <c r="O54" s="2905"/>
      <c r="P54" s="2905"/>
      <c r="Q54" s="2905"/>
      <c r="R54" s="2905"/>
      <c r="S54" s="2905"/>
      <c r="T54" s="2905"/>
      <c r="U54" s="2905"/>
      <c r="V54" s="2905"/>
      <c r="W54" s="2905"/>
      <c r="X54" s="2905"/>
      <c r="Y54" s="2905"/>
      <c r="Z54" s="2905"/>
    </row>
    <row r="55" spans="2:26">
      <c r="B55" s="2905"/>
      <c r="C55" s="2906">
        <v>33318</v>
      </c>
      <c r="D55" s="2905">
        <v>9</v>
      </c>
      <c r="E55" s="2905">
        <v>10.08</v>
      </c>
      <c r="F55" s="2905">
        <v>10.8</v>
      </c>
      <c r="G55" s="2905">
        <v>11.52</v>
      </c>
      <c r="H55" s="2905">
        <v>11.88</v>
      </c>
      <c r="I55" s="2905" t="s">
        <v>2817</v>
      </c>
      <c r="J55" s="2905" t="s">
        <v>2817</v>
      </c>
      <c r="L55" s="2905"/>
      <c r="M55" s="2906"/>
      <c r="N55" s="2905"/>
      <c r="O55" s="2905"/>
      <c r="P55" s="2905"/>
      <c r="Q55" s="2905"/>
      <c r="R55" s="2905"/>
      <c r="S55" s="2905"/>
      <c r="T55" s="2905"/>
      <c r="U55" s="2905"/>
      <c r="V55" s="2905"/>
      <c r="W55" s="2905"/>
      <c r="X55" s="2905"/>
      <c r="Y55" s="2905"/>
      <c r="Z55" s="2905"/>
    </row>
    <row r="56" spans="2:26">
      <c r="B56" s="2905"/>
      <c r="C56" s="2906">
        <v>33106</v>
      </c>
      <c r="D56" s="2905">
        <v>8.64</v>
      </c>
      <c r="E56" s="2905">
        <v>9.36</v>
      </c>
      <c r="F56" s="2905">
        <v>10.08</v>
      </c>
      <c r="G56" s="2905">
        <v>10.8</v>
      </c>
      <c r="H56" s="2905">
        <v>11.16</v>
      </c>
      <c r="I56" s="2905">
        <v>0</v>
      </c>
      <c r="J56" s="2905">
        <v>0</v>
      </c>
      <c r="L56" s="2905"/>
      <c r="M56" s="2906"/>
      <c r="N56" s="2905"/>
      <c r="O56" s="2905"/>
      <c r="P56" s="2905"/>
      <c r="Q56" s="2905"/>
      <c r="R56" s="2905"/>
      <c r="S56" s="2905"/>
      <c r="T56" s="2905"/>
      <c r="U56" s="2905"/>
      <c r="V56" s="2905"/>
      <c r="W56" s="2905"/>
      <c r="X56" s="2905"/>
      <c r="Y56" s="2905"/>
      <c r="Z56" s="2905"/>
    </row>
    <row r="57" spans="2:26">
      <c r="B57" s="2905"/>
      <c r="C57" s="2906">
        <v>32540</v>
      </c>
      <c r="D57" s="2905">
        <v>11.34</v>
      </c>
      <c r="E57" s="2905">
        <v>11.34</v>
      </c>
      <c r="F57" s="2905">
        <v>12.78</v>
      </c>
      <c r="G57" s="2905">
        <v>14.4</v>
      </c>
      <c r="H57" s="2905">
        <v>19.260000000000002</v>
      </c>
      <c r="I57" s="2905">
        <v>0</v>
      </c>
      <c r="J57" s="2905">
        <v>0</v>
      </c>
      <c r="L57" s="2905"/>
      <c r="M57" s="2906"/>
      <c r="N57" s="2905"/>
      <c r="O57" s="2905"/>
      <c r="P57" s="2905"/>
      <c r="Q57" s="2905"/>
      <c r="R57" s="2905"/>
      <c r="S57" s="2905"/>
      <c r="T57" s="2905"/>
      <c r="U57" s="2905"/>
      <c r="V57" s="2905"/>
      <c r="W57" s="2905"/>
      <c r="X57" s="2905"/>
      <c r="Y57" s="2905"/>
      <c r="Z57" s="2905"/>
    </row>
    <row r="58" spans="2:26">
      <c r="B58" s="2905"/>
      <c r="C58" s="2906"/>
      <c r="D58" s="2905"/>
      <c r="E58" s="2905"/>
      <c r="F58" s="2905"/>
      <c r="G58" s="2905"/>
      <c r="H58" s="2905"/>
      <c r="I58" s="2905"/>
      <c r="J58" s="2905"/>
    </row>
    <row r="59" spans="2:26">
      <c r="B59" s="2909"/>
      <c r="C59" s="2910"/>
      <c r="D59" s="2909"/>
      <c r="E59" s="2909"/>
      <c r="F59" s="2909"/>
      <c r="G59" s="2909"/>
      <c r="H59" s="2909"/>
      <c r="I59" s="2909"/>
      <c r="J59" s="2909"/>
    </row>
    <row r="60" spans="2:26">
      <c r="B60" s="2909"/>
      <c r="C60" s="2910"/>
      <c r="D60" s="2909"/>
      <c r="E60" s="2909"/>
      <c r="F60" s="2909"/>
      <c r="G60" s="2909"/>
      <c r="H60" s="2909"/>
      <c r="I60" s="2909"/>
      <c r="J60" s="2909"/>
    </row>
    <row r="61" spans="2:26">
      <c r="B61" s="2909"/>
      <c r="C61" s="2910"/>
      <c r="D61" s="2909"/>
      <c r="E61" s="2909"/>
      <c r="F61" s="2909"/>
      <c r="G61" s="2909"/>
      <c r="H61" s="2909"/>
      <c r="I61" s="2909"/>
      <c r="J61" s="2909"/>
    </row>
    <row r="62" spans="2:26">
      <c r="B62" s="2856"/>
      <c r="C62" s="2856"/>
      <c r="D62" s="2856"/>
      <c r="E62" s="2856"/>
      <c r="F62" s="2856"/>
      <c r="G62" s="2856"/>
      <c r="H62" s="2856"/>
      <c r="I62" s="2856"/>
      <c r="J62" s="2856"/>
    </row>
    <row r="63" spans="2:26">
      <c r="B63" s="2856"/>
      <c r="C63" s="2856"/>
      <c r="D63" s="2856"/>
      <c r="E63" s="2856"/>
      <c r="F63" s="2856"/>
      <c r="G63" s="2856"/>
      <c r="H63" s="2856"/>
      <c r="I63" s="2856"/>
      <c r="J63" s="285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8" t="s">
        <v>2036</v>
      </c>
      <c r="B1" s="3328"/>
      <c r="C1" s="3328"/>
      <c r="D1" s="3328"/>
      <c r="E1" s="3328"/>
      <c r="F1" s="3328"/>
      <c r="G1" s="3328"/>
      <c r="H1" s="3328"/>
      <c r="I1" s="3328"/>
      <c r="J1" s="3328"/>
      <c r="K1" s="3328"/>
      <c r="L1" s="3328"/>
      <c r="M1" s="3328"/>
      <c r="N1" s="3328"/>
      <c r="O1" s="3328"/>
      <c r="P1" s="3328"/>
      <c r="Q1" s="3328"/>
      <c r="R1" s="3328"/>
    </row>
    <row r="2" spans="1:18">
      <c r="A2" s="1712" t="s">
        <v>2038</v>
      </c>
      <c r="B2" s="1712"/>
      <c r="C2" s="1712"/>
      <c r="D2" s="1712"/>
      <c r="E2" s="1712"/>
      <c r="F2" s="1712"/>
      <c r="G2" s="1712"/>
      <c r="H2" s="1712"/>
      <c r="I2" s="1713"/>
      <c r="J2" s="1713"/>
      <c r="K2" s="1714" t="str">
        <f>"估价期日："&amp;TEXT(项目基本情况!D3,"yyyy年m月d日;;")</f>
        <v>估价期日：2017年12月26日</v>
      </c>
      <c r="L2" s="1712"/>
      <c r="M2" s="1712"/>
      <c r="N2" s="1712"/>
      <c r="O2" s="1712"/>
      <c r="P2" s="1712"/>
      <c r="Q2" s="1712"/>
      <c r="R2" s="1714" t="str">
        <f>"估价期日的国有建设用地使用权性质："&amp;项目基本情况!B16</f>
        <v>估价期日的国有建设用地使用权性质：出让</v>
      </c>
    </row>
    <row r="3" spans="1:18" ht="23.25" customHeight="1">
      <c r="A3" s="3329" t="s">
        <v>2027</v>
      </c>
      <c r="B3" s="3329" t="s">
        <v>2730</v>
      </c>
      <c r="C3" s="3330" t="s">
        <v>2028</v>
      </c>
      <c r="D3" s="3329" t="s">
        <v>2734</v>
      </c>
      <c r="E3" s="3324" t="s">
        <v>2029</v>
      </c>
      <c r="F3" s="3324"/>
      <c r="G3" s="3324"/>
      <c r="H3" s="3324" t="s">
        <v>2030</v>
      </c>
      <c r="I3" s="3324"/>
      <c r="J3" s="3324"/>
      <c r="K3" s="3330" t="s">
        <v>2031</v>
      </c>
      <c r="L3" s="3330" t="s">
        <v>2032</v>
      </c>
      <c r="M3" s="3329" t="s">
        <v>2731</v>
      </c>
      <c r="N3" s="3331" t="str">
        <f>"（分摊）"&amp;项目基本情况!B16&amp;"国有建设用地使用权面积/㎡"</f>
        <v>（分摊）出让国有建设用地使用权面积/㎡</v>
      </c>
      <c r="O3" s="3329" t="s">
        <v>2061</v>
      </c>
      <c r="P3" s="3330" t="s">
        <v>2041</v>
      </c>
      <c r="Q3" s="3330" t="s">
        <v>2062</v>
      </c>
      <c r="R3" s="3330" t="s">
        <v>2033</v>
      </c>
    </row>
    <row r="4" spans="1:18" ht="36.75" customHeight="1">
      <c r="A4" s="3329"/>
      <c r="B4" s="3329"/>
      <c r="C4" s="3330"/>
      <c r="D4" s="3329"/>
      <c r="E4" s="2566" t="s">
        <v>2040</v>
      </c>
      <c r="F4" s="2566" t="s">
        <v>2743</v>
      </c>
      <c r="G4" s="2566" t="s">
        <v>2034</v>
      </c>
      <c r="H4" s="2566" t="s">
        <v>2035</v>
      </c>
      <c r="I4" s="2566" t="s">
        <v>2744</v>
      </c>
      <c r="J4" s="2566" t="s">
        <v>2034</v>
      </c>
      <c r="K4" s="3330"/>
      <c r="L4" s="3330"/>
      <c r="M4" s="3329"/>
      <c r="N4" s="3331"/>
      <c r="O4" s="3329"/>
      <c r="P4" s="3330"/>
      <c r="Q4" s="3330"/>
      <c r="R4" s="3330"/>
    </row>
    <row r="5" spans="1:18" ht="135" customHeight="1">
      <c r="A5" s="1841" t="s">
        <v>2654</v>
      </c>
      <c r="B5" s="2782" t="s">
        <v>2652</v>
      </c>
      <c r="C5" s="2565">
        <v>22</v>
      </c>
      <c r="D5" s="2564" t="s">
        <v>2653</v>
      </c>
      <c r="E5" s="1715" t="str">
        <f>项目基本情况!B12</f>
        <v>住宅</v>
      </c>
      <c r="F5" s="2564">
        <v>258</v>
      </c>
      <c r="G5" s="1715" t="str">
        <f>项目基本情况!B13</f>
        <v>住宅、商业</v>
      </c>
      <c r="H5" s="2564">
        <v>1.5</v>
      </c>
      <c r="I5" s="2564">
        <v>1.5</v>
      </c>
      <c r="J5" s="2564">
        <v>1.5</v>
      </c>
      <c r="K5" s="1715" t="str">
        <f>"红线外"&amp;项目基本情况!T40&amp;"、宗地红线内"&amp;项目基本情况!B35</f>
        <v>红线外七通、宗地红线内场地平整</v>
      </c>
      <c r="L5" s="1715" t="str">
        <f>"红线外"&amp;项目基本情况!T40&amp;"、宗地红线内场地"&amp;项目基本情况!D36</f>
        <v>红线外七通、宗地红线内场地平整</v>
      </c>
      <c r="M5" s="1715">
        <f>IF(项目基本情况!B16="出让",项目基本情况!D20,"——")</f>
        <v>0</v>
      </c>
      <c r="N5" s="1715">
        <f>项目基本情况!C22</f>
        <v>110209</v>
      </c>
      <c r="O5" s="1715">
        <f>项目基本情况!C21</f>
        <v>154292.6</v>
      </c>
      <c r="P5" s="1715">
        <f ca="1">结果表!E42</f>
        <v>6543</v>
      </c>
      <c r="Q5" s="1715">
        <f ca="1">结果表!D42</f>
        <v>4674</v>
      </c>
      <c r="R5" s="1716">
        <f ca="1">结果表!C42</f>
        <v>72109</v>
      </c>
    </row>
    <row r="6" spans="1:18">
      <c r="A6" s="3325" t="str">
        <f>IF(项目基本情况!B9="市场价格","——","抵押价格")</f>
        <v>抵押价格</v>
      </c>
      <c r="B6" s="3326"/>
      <c r="C6" s="3326"/>
      <c r="D6" s="3326"/>
      <c r="E6" s="3326"/>
      <c r="F6" s="3326"/>
      <c r="G6" s="3326"/>
      <c r="H6" s="3326"/>
      <c r="I6" s="3326"/>
      <c r="J6" s="3326"/>
      <c r="K6" s="3326"/>
      <c r="L6" s="3326"/>
      <c r="M6" s="3326"/>
      <c r="N6" s="3326"/>
      <c r="O6" s="3326"/>
      <c r="P6" s="3326"/>
      <c r="Q6" s="3327"/>
      <c r="R6" s="1717">
        <f ca="1">结果表!O39</f>
        <v>72109</v>
      </c>
    </row>
    <row r="7" spans="1:18">
      <c r="A7" s="3325" t="str">
        <f>IF(项目基本情况!B9="市场价格","——",IF(项目基本情况!E8="已注销及未注销","抵押担保权已注销时的抵押价格","——"))</f>
        <v>——</v>
      </c>
      <c r="B7" s="3326"/>
      <c r="C7" s="3326"/>
      <c r="D7" s="3326"/>
      <c r="E7" s="3326"/>
      <c r="F7" s="3326"/>
      <c r="G7" s="3326"/>
      <c r="H7" s="3326"/>
      <c r="I7" s="3326"/>
      <c r="J7" s="3326"/>
      <c r="K7" s="3326"/>
      <c r="L7" s="3326"/>
      <c r="M7" s="3326"/>
      <c r="N7" s="3326"/>
      <c r="O7" s="3326"/>
      <c r="P7" s="3326"/>
      <c r="Q7" s="3327"/>
      <c r="R7" s="1717" t="str">
        <f>结果表!O40</f>
        <v>——</v>
      </c>
    </row>
    <row r="8" spans="1:18">
      <c r="A8" s="3325">
        <f>IF(项目基本情况!B9="市场价格","——",项目基本情况!E9)</f>
        <v>0</v>
      </c>
      <c r="B8" s="3326"/>
      <c r="C8" s="3326"/>
      <c r="D8" s="3326"/>
      <c r="E8" s="3326"/>
      <c r="F8" s="3326"/>
      <c r="G8" s="3326"/>
      <c r="H8" s="3326"/>
      <c r="I8" s="3326"/>
      <c r="J8" s="3326"/>
      <c r="K8" s="3326"/>
      <c r="L8" s="3326"/>
      <c r="M8" s="3326"/>
      <c r="N8" s="3326"/>
      <c r="O8" s="3326"/>
      <c r="P8" s="3326"/>
      <c r="Q8" s="3327"/>
      <c r="R8" s="1717" t="str">
        <f>结果表!O41</f>
        <v>——</v>
      </c>
    </row>
    <row r="9" spans="1:18">
      <c r="A9" s="1718" t="s">
        <v>2039</v>
      </c>
      <c r="B9" s="1712"/>
      <c r="C9" s="1712"/>
      <c r="D9" s="1712"/>
      <c r="E9" s="1712"/>
      <c r="F9" s="1712"/>
      <c r="G9" s="1712"/>
      <c r="H9" s="1712"/>
      <c r="I9" s="1712"/>
      <c r="J9" s="1712"/>
      <c r="K9" s="1712"/>
      <c r="L9" s="1712"/>
      <c r="M9" s="1712"/>
      <c r="N9" s="1712"/>
      <c r="O9" s="1712"/>
      <c r="P9" s="1712"/>
      <c r="Q9" s="1712"/>
      <c r="R9" s="1712"/>
    </row>
    <row r="10" spans="1:18">
      <c r="A10" s="1719"/>
      <c r="B10" s="1712"/>
      <c r="C10" s="1712"/>
      <c r="D10" s="1712"/>
      <c r="E10" s="1712"/>
      <c r="F10" s="1712"/>
      <c r="G10" s="1712"/>
      <c r="H10" s="1712"/>
      <c r="I10" s="1712"/>
      <c r="J10" s="1712"/>
      <c r="K10" s="1712"/>
      <c r="L10" s="1712"/>
      <c r="M10" s="1712"/>
      <c r="N10" s="1712"/>
      <c r="O10" s="1712"/>
      <c r="P10" s="1712"/>
      <c r="Q10" s="1712"/>
      <c r="R10" s="1712"/>
    </row>
    <row r="11" spans="1:18">
      <c r="A11" s="1719" t="s">
        <v>2026</v>
      </c>
      <c r="B11" s="1720"/>
      <c r="C11" s="1720"/>
      <c r="D11" s="1720"/>
      <c r="E11" s="1720"/>
      <c r="F11" s="1720"/>
      <c r="G11" s="1720"/>
      <c r="H11" s="1720"/>
      <c r="I11" s="1720"/>
      <c r="J11" s="1720"/>
      <c r="K11" s="1720"/>
      <c r="L11" s="1720"/>
      <c r="M11" s="1720"/>
      <c r="N11" s="1720"/>
      <c r="O11" s="1720"/>
      <c r="P11" s="1720"/>
      <c r="Q11" s="1720"/>
      <c r="R11" s="17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6"/>
      <c r="B14" s="2"/>
      <c r="C14" s="2"/>
      <c r="D14" s="2"/>
      <c r="E14" s="2"/>
      <c r="F14" s="2"/>
      <c r="G14" s="2"/>
      <c r="H14" s="2"/>
      <c r="I14" s="2"/>
      <c r="J14" s="2"/>
      <c r="K14" s="2"/>
      <c r="L14" s="2"/>
      <c r="M14" s="2"/>
      <c r="N14" s="2"/>
      <c r="O14" s="2"/>
      <c r="P14" s="2"/>
      <c r="Q14" s="2"/>
      <c r="R14" s="2"/>
    </row>
    <row r="15" spans="1:18">
      <c r="A15" s="1698"/>
    </row>
    <row r="16" spans="1:18">
      <c r="A16" s="1698"/>
    </row>
    <row r="17" spans="1:1">
      <c r="A17" s="1698"/>
    </row>
    <row r="18" spans="1:1">
      <c r="A18" s="1698"/>
    </row>
    <row r="19" spans="1:1">
      <c r="A19" s="1698"/>
    </row>
    <row r="20" spans="1:1">
      <c r="A20" s="1697"/>
    </row>
    <row r="21" spans="1:1">
      <c r="A21" s="1697"/>
    </row>
    <row r="22" spans="1:1">
      <c r="A22" s="1698"/>
    </row>
    <row r="23" spans="1:1">
      <c r="A23" s="1698"/>
    </row>
    <row r="24" spans="1:1">
      <c r="A24" s="1698"/>
    </row>
    <row r="25" spans="1:1">
      <c r="A25" s="1698"/>
    </row>
    <row r="26" spans="1:1">
      <c r="A26" s="1698"/>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7" customWidth="1"/>
    <col min="2" max="3" width="21.375" style="1707" customWidth="1"/>
    <col min="4" max="4" width="19.875" style="1707" customWidth="1"/>
    <col min="5" max="16384" width="9" style="1707"/>
  </cols>
  <sheetData>
    <row r="1" spans="1:4">
      <c r="A1" s="3332" t="s">
        <v>2063</v>
      </c>
      <c r="B1" s="3332"/>
      <c r="C1" s="3332"/>
      <c r="D1" s="3332"/>
    </row>
    <row r="2" spans="1:4" ht="47.25" customHeight="1">
      <c r="A2" s="3336" t="str">
        <f>"1.权利限制："&amp;项目基本情况!L24&amp;"未设定租赁等其他他项权利。"</f>
        <v>1.权利限制：根据估价对象、，截至估价期日，估价对象抵押权未见登记。未设定租赁等其他他项权利。</v>
      </c>
      <c r="B2" s="3336"/>
      <c r="C2" s="3336"/>
      <c r="D2" s="3336"/>
    </row>
    <row r="3" spans="1:4" ht="48" customHeight="1">
      <c r="A3" s="33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2"/>
      <c r="C3" s="3332"/>
      <c r="D3" s="3332"/>
    </row>
    <row r="4" spans="1:4" ht="36.75" customHeight="1">
      <c r="A4" s="3332" t="str">
        <f>"3.估价规划限制条件：详见"&amp;项目基本情况!E21&amp;"。"</f>
        <v>3.估价规划限制条件：详见。</v>
      </c>
      <c r="B4" s="3332"/>
      <c r="C4" s="3332"/>
      <c r="D4" s="3332"/>
    </row>
    <row r="5" spans="1:4">
      <c r="A5" s="3335" t="s">
        <v>2064</v>
      </c>
      <c r="B5" s="3335"/>
      <c r="C5" s="3335"/>
      <c r="D5" s="3335"/>
    </row>
    <row r="6" spans="1:4">
      <c r="A6" s="3332" t="s">
        <v>2042</v>
      </c>
      <c r="B6" s="3332"/>
      <c r="C6" s="3332"/>
      <c r="D6" s="3332"/>
    </row>
    <row r="7" spans="1:4" ht="33" customHeight="1">
      <c r="A7" s="3332" t="s">
        <v>2572</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（1）根据估价对象、，截至估价期日，估价对象抵押权未见登记。</v>
      </c>
      <c r="B11" s="3334"/>
      <c r="C11" s="3334"/>
      <c r="D11" s="3334"/>
    </row>
    <row r="12" spans="1:4" ht="168" customHeight="1">
      <c r="A12" s="3335" t="s">
        <v>2066</v>
      </c>
      <c r="B12" s="3335"/>
      <c r="C12" s="3335"/>
      <c r="D12" s="3335"/>
    </row>
    <row r="13" spans="1:4">
      <c r="A13" s="3333" t="s">
        <v>2745</v>
      </c>
      <c r="B13" s="3333"/>
      <c r="C13" s="3333"/>
      <c r="D13" s="3333"/>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2701</v>
      </c>
      <c r="B17" s="3332"/>
      <c r="C17" s="3332"/>
      <c r="D17" s="3332"/>
    </row>
    <row r="18" spans="1:4">
      <c r="A18" s="3332" t="s">
        <v>2693</v>
      </c>
      <c r="B18" s="3332"/>
      <c r="C18" s="3332"/>
      <c r="D18" s="3332"/>
    </row>
    <row r="19" spans="1:4">
      <c r="A19" s="2783" t="s">
        <v>2694</v>
      </c>
      <c r="B19" s="2783" t="s">
        <v>2695</v>
      </c>
      <c r="C19" s="2783" t="s">
        <v>2696</v>
      </c>
      <c r="D19" s="2783" t="s">
        <v>2697</v>
      </c>
    </row>
    <row r="20" spans="1:4">
      <c r="A20" s="2783" t="str">
        <f>项目基本情况!B4</f>
        <v>梁津</v>
      </c>
      <c r="B20" s="2783">
        <f ca="1">项目基本情况!C4</f>
        <v>96010014</v>
      </c>
      <c r="C20" s="2785"/>
      <c r="D20" s="1705" t="s">
        <v>2702</v>
      </c>
    </row>
    <row r="21" spans="1:4">
      <c r="A21" s="2783" t="str">
        <f>项目基本情况!D4</f>
        <v>王鹏</v>
      </c>
      <c r="B21" s="2783">
        <f ca="1">项目基本情况!E4</f>
        <v>2002110030</v>
      </c>
      <c r="C21" s="2785"/>
      <c r="D21" s="1705" t="s">
        <v>2703</v>
      </c>
    </row>
    <row r="23" spans="1:4">
      <c r="A23" s="3332" t="s">
        <v>2698</v>
      </c>
      <c r="B23" s="3332"/>
      <c r="C23" s="3332"/>
      <c r="D23" s="3332"/>
    </row>
    <row r="24" spans="1:4">
      <c r="A24" s="2783" t="s">
        <v>2694</v>
      </c>
      <c r="B24" s="2783" t="s">
        <v>2699</v>
      </c>
      <c r="C24" s="2783" t="s">
        <v>2696</v>
      </c>
      <c r="D24" s="2783" t="s">
        <v>2697</v>
      </c>
    </row>
    <row r="25" spans="1:4">
      <c r="A25" s="2786" t="s">
        <v>2700</v>
      </c>
      <c r="B25" s="2783" t="s">
        <v>950</v>
      </c>
      <c r="C25" s="2785"/>
      <c r="D25" s="1705" t="s">
        <v>2703</v>
      </c>
    </row>
    <row r="29" spans="1:4">
      <c r="D29" s="2784" t="s">
        <v>2037</v>
      </c>
    </row>
    <row r="30" spans="1:4">
      <c r="D30" s="27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344" t="s">
        <v>53</v>
      </c>
      <c r="B15" s="3345" t="s">
        <v>844</v>
      </c>
      <c r="C15" s="3341"/>
    </row>
    <row r="16" spans="1:7" ht="14.25">
      <c r="A16" s="3344"/>
      <c r="B16" s="3342" t="s">
        <v>54</v>
      </c>
      <c r="C16" s="1172" t="s">
        <v>53</v>
      </c>
    </row>
    <row r="17" spans="1:3" ht="14.25">
      <c r="A17" s="3344"/>
      <c r="B17" s="3342"/>
      <c r="C17" s="1172" t="s">
        <v>55</v>
      </c>
    </row>
    <row r="18" spans="1:3" ht="14.25">
      <c r="A18" s="3344"/>
      <c r="B18" s="3342"/>
      <c r="C18" s="1172" t="s">
        <v>56</v>
      </c>
    </row>
    <row r="19" spans="1:3" ht="14.25">
      <c r="A19" s="3344"/>
      <c r="B19" s="3340" t="s">
        <v>57</v>
      </c>
      <c r="C19" s="3341"/>
    </row>
    <row r="20" spans="1:3" ht="14.25">
      <c r="A20" s="1173" t="s">
        <v>58</v>
      </c>
      <c r="B20" s="1174"/>
      <c r="C20" s="1175"/>
    </row>
    <row r="21" spans="1:3" ht="14.25">
      <c r="A21" s="3343" t="s">
        <v>59</v>
      </c>
      <c r="B21" s="3340" t="s">
        <v>60</v>
      </c>
      <c r="C21" s="3341"/>
    </row>
    <row r="22" spans="1:3" ht="14.25">
      <c r="A22" s="3343"/>
      <c r="B22" s="3340" t="s">
        <v>61</v>
      </c>
      <c r="C22" s="3341"/>
    </row>
    <row r="23" spans="1:3" ht="14.25">
      <c r="A23" s="3343"/>
      <c r="B23" s="3340" t="s">
        <v>62</v>
      </c>
      <c r="C23" s="3341"/>
    </row>
    <row r="24" spans="1:3" ht="14.25">
      <c r="A24" s="3343"/>
      <c r="B24" s="3346" t="s">
        <v>63</v>
      </c>
      <c r="C24" s="1176" t="s">
        <v>835</v>
      </c>
    </row>
    <row r="25" spans="1:3" ht="14.25">
      <c r="A25" s="3343"/>
      <c r="B25" s="3347"/>
      <c r="C25" s="1176" t="s">
        <v>836</v>
      </c>
    </row>
    <row r="26" spans="1:3" ht="14.25">
      <c r="A26" s="3343"/>
      <c r="B26" s="3347"/>
      <c r="C26" s="1176" t="s">
        <v>837</v>
      </c>
    </row>
    <row r="27" spans="1:3" ht="14.25">
      <c r="A27" s="3343"/>
      <c r="B27" s="3347"/>
      <c r="C27" s="1176" t="s">
        <v>838</v>
      </c>
    </row>
    <row r="28" spans="1:3" ht="14.25">
      <c r="A28" s="3343"/>
      <c r="B28" s="3347"/>
      <c r="C28" s="1176" t="s">
        <v>839</v>
      </c>
    </row>
    <row r="29" spans="1:3" ht="14.25">
      <c r="A29" s="3343"/>
      <c r="B29" s="3347"/>
      <c r="C29" s="1176" t="s">
        <v>840</v>
      </c>
    </row>
    <row r="30" spans="1:3" ht="14.25">
      <c r="A30" s="3343"/>
      <c r="B30" s="3347"/>
      <c r="C30" s="1176" t="s">
        <v>841</v>
      </c>
    </row>
    <row r="31" spans="1:3" ht="14.25">
      <c r="A31" s="3343"/>
      <c r="B31" s="3347"/>
      <c r="C31" s="1176" t="s">
        <v>842</v>
      </c>
    </row>
    <row r="32" spans="1:3" ht="14.25">
      <c r="A32" s="3343"/>
      <c r="B32" s="3347"/>
      <c r="C32" s="1176" t="s">
        <v>1645</v>
      </c>
    </row>
    <row r="33" spans="1:3" ht="14.25">
      <c r="A33" s="3343"/>
      <c r="B33" s="3337" t="s">
        <v>1651</v>
      </c>
      <c r="C33" s="1176" t="s">
        <v>1646</v>
      </c>
    </row>
    <row r="34" spans="1:3" ht="14.25">
      <c r="A34" s="3343"/>
      <c r="B34" s="3338"/>
      <c r="C34" s="1181" t="s">
        <v>1647</v>
      </c>
    </row>
    <row r="35" spans="1:3" ht="14.25">
      <c r="A35" s="3343"/>
      <c r="B35" s="3338"/>
      <c r="C35" s="1182" t="s">
        <v>1648</v>
      </c>
    </row>
    <row r="36" spans="1:3" ht="14.25">
      <c r="A36" s="3343"/>
      <c r="B36" s="3338"/>
      <c r="C36" s="1182" t="s">
        <v>1649</v>
      </c>
    </row>
    <row r="37" spans="1:3" ht="14.25">
      <c r="A37" s="3343"/>
      <c r="B37" s="3339"/>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31" sqref="C31"/>
    </sheetView>
  </sheetViews>
  <sheetFormatPr defaultColWidth="22.625" defaultRowHeight="20.25" customHeight="1"/>
  <cols>
    <col min="1" max="1" width="24.75" style="2239" customWidth="1"/>
    <col min="2" max="5" width="22.625" style="2239"/>
    <col min="6" max="6" width="25.625" style="2239" customWidth="1"/>
    <col min="7" max="16384" width="22.625" style="2239"/>
  </cols>
  <sheetData>
    <row r="2" spans="1:6" ht="20.25" customHeight="1">
      <c r="A2" s="2236" t="s">
        <v>1906</v>
      </c>
      <c r="B2" s="1658">
        <f ca="1">TODAY()</f>
        <v>43096</v>
      </c>
      <c r="C2" s="2237" t="s">
        <v>1907</v>
      </c>
      <c r="D2" s="2238"/>
    </row>
    <row r="3" spans="1:6" ht="20.25" customHeight="1">
      <c r="A3" s="2240" t="s">
        <v>1908</v>
      </c>
      <c r="B3" s="2241" t="s">
        <v>1909</v>
      </c>
      <c r="C3" s="2241" t="s">
        <v>1910</v>
      </c>
      <c r="D3" s="2242" t="s">
        <v>1911</v>
      </c>
      <c r="E3" s="2241" t="s">
        <v>1912</v>
      </c>
      <c r="F3" s="2241" t="s">
        <v>1910</v>
      </c>
    </row>
    <row r="4" spans="1:6" ht="20.25" customHeight="1">
      <c r="A4" s="2241" t="s">
        <v>1913</v>
      </c>
      <c r="B4" s="2241">
        <f ca="1">IF(C4&lt;B2,"已过期",1119970066)</f>
        <v>1119970066</v>
      </c>
      <c r="C4" s="2921">
        <v>43849</v>
      </c>
      <c r="D4" s="2241" t="s">
        <v>1913</v>
      </c>
      <c r="E4" s="2241">
        <f ca="1">IF(F4&lt;B2,"已过期",96010014)</f>
        <v>96010014</v>
      </c>
      <c r="F4" s="2922">
        <v>47118</v>
      </c>
    </row>
    <row r="5" spans="1:6" ht="20.25" customHeight="1">
      <c r="A5" s="2241" t="s">
        <v>1914</v>
      </c>
      <c r="B5" s="2241">
        <f ca="1">IF(C5&lt;B2,"已过期",1119970074)</f>
        <v>1119970074</v>
      </c>
      <c r="C5" s="2921">
        <v>43849</v>
      </c>
      <c r="D5" s="2241" t="s">
        <v>1914</v>
      </c>
      <c r="E5" s="2241">
        <f ca="1">IF(F5&lt;B2,"已过期",2002110027)</f>
        <v>2002110027</v>
      </c>
      <c r="F5" s="2922">
        <v>46752</v>
      </c>
    </row>
    <row r="6" spans="1:6" ht="20.25" customHeight="1">
      <c r="A6" s="2241" t="s">
        <v>1915</v>
      </c>
      <c r="B6" s="2241">
        <f ca="1">IF(C6&lt;B2,"已过期",1119970111)</f>
        <v>1119970111</v>
      </c>
      <c r="C6" s="2921">
        <v>43849</v>
      </c>
      <c r="D6" s="2241" t="s">
        <v>1915</v>
      </c>
      <c r="E6" s="2241">
        <f ca="1">IF(F6&lt;B2,"已过期",94010078)</f>
        <v>94010078</v>
      </c>
      <c r="F6" s="2922">
        <v>46387</v>
      </c>
    </row>
    <row r="7" spans="1:6" ht="20.25" customHeight="1">
      <c r="A7" s="2241" t="s">
        <v>1916</v>
      </c>
      <c r="B7" s="2241">
        <f ca="1">IF(C7&lt;B2,"已过期",1120050019)</f>
        <v>1120050019</v>
      </c>
      <c r="C7" s="2921">
        <v>43359</v>
      </c>
      <c r="D7" s="2241" t="s">
        <v>1916</v>
      </c>
      <c r="E7" s="2241">
        <f ca="1">IF(F7&lt;B2,"已过期",2002110030)</f>
        <v>2002110030</v>
      </c>
      <c r="F7" s="2922">
        <v>46387</v>
      </c>
    </row>
    <row r="8" spans="1:6" ht="20.25" customHeight="1">
      <c r="A8" s="2241" t="s">
        <v>1917</v>
      </c>
      <c r="B8" s="2241">
        <f ca="1">IF(C8&lt;B2,"已过期",1120000080)</f>
        <v>1120000080</v>
      </c>
      <c r="C8" s="2921">
        <v>43849</v>
      </c>
      <c r="D8" s="2241" t="s">
        <v>1917</v>
      </c>
      <c r="E8" s="2241">
        <f ca="1">IF(F8&lt;B2,"已过期",2000110082)</f>
        <v>2000110082</v>
      </c>
      <c r="F8" s="2922">
        <v>46387</v>
      </c>
    </row>
    <row r="9" spans="1:6" ht="20.25" customHeight="1">
      <c r="A9" s="2241" t="s">
        <v>1918</v>
      </c>
      <c r="B9" s="2241">
        <f ca="1">IF(C9&lt;B2,"已过期",1419970001)</f>
        <v>1419970001</v>
      </c>
      <c r="C9" s="2921">
        <v>43867</v>
      </c>
      <c r="D9" s="2241" t="s">
        <v>1918</v>
      </c>
      <c r="E9" s="2241">
        <f ca="1">IF(F9&lt;B2,"已过期",2002110125)</f>
        <v>2002110125</v>
      </c>
      <c r="F9" s="2922">
        <v>47118</v>
      </c>
    </row>
    <row r="10" spans="1:6" ht="20.25" customHeight="1">
      <c r="A10" s="2241" t="s">
        <v>1919</v>
      </c>
      <c r="B10" s="2241">
        <f ca="1">IF(C10&lt;B2,"已过期",1120060040)</f>
        <v>1120060040</v>
      </c>
      <c r="C10" s="2921">
        <v>43483</v>
      </c>
      <c r="D10" s="2241" t="s">
        <v>1919</v>
      </c>
      <c r="E10" s="2241">
        <f ca="1">IF(F10&lt;B2,"已过期",2004110096)</f>
        <v>2004110096</v>
      </c>
      <c r="F10" s="2922">
        <v>47118</v>
      </c>
    </row>
    <row r="11" spans="1:6" ht="20.25" customHeight="1">
      <c r="A11" s="2241" t="s">
        <v>1920</v>
      </c>
      <c r="B11" s="2241">
        <f ca="1">IF(C11&lt;B2,"已过期",1120100036)</f>
        <v>1120100036</v>
      </c>
      <c r="C11" s="2921">
        <v>43622</v>
      </c>
      <c r="D11" s="2241" t="s">
        <v>1920</v>
      </c>
      <c r="E11" s="2241">
        <f ca="1">IF(F11&lt;B2,"已过期",2010110070)</f>
        <v>2010110070</v>
      </c>
      <c r="F11" s="2922">
        <v>47907</v>
      </c>
    </row>
    <row r="12" spans="1:6" ht="20.25" customHeight="1">
      <c r="A12" s="2241"/>
      <c r="B12" s="2241"/>
      <c r="C12" s="2921"/>
      <c r="D12" s="2241"/>
      <c r="E12" s="2241"/>
      <c r="F12" s="2241"/>
    </row>
    <row r="13" spans="1:6" ht="20.25" customHeight="1">
      <c r="A13" s="2241" t="s">
        <v>1921</v>
      </c>
      <c r="B13" s="2241">
        <f ca="1">IF(C13&lt;B2,"已过期",1120070131)</f>
        <v>1120070131</v>
      </c>
      <c r="C13" s="2921">
        <v>43814</v>
      </c>
      <c r="D13" s="2241" t="s">
        <v>1921</v>
      </c>
      <c r="E13" s="2241">
        <v>2014110011</v>
      </c>
      <c r="F13" s="2922">
        <v>49302</v>
      </c>
    </row>
    <row r="14" spans="1:6" ht="20.25" customHeight="1">
      <c r="A14" s="2241" t="s">
        <v>1922</v>
      </c>
      <c r="B14" s="2241">
        <f ca="1">IF(C14&lt;B2,"已过期",1120130020)</f>
        <v>1120130020</v>
      </c>
      <c r="C14" s="2921">
        <v>43622</v>
      </c>
      <c r="D14" s="2241"/>
      <c r="E14" s="2241"/>
      <c r="F14" s="2241"/>
    </row>
    <row r="15" spans="1:6" ht="20.25" customHeight="1">
      <c r="A15" s="2241" t="s">
        <v>2571</v>
      </c>
      <c r="B15" s="2241">
        <v>1120070085</v>
      </c>
      <c r="C15" s="2921">
        <v>43814</v>
      </c>
      <c r="D15" s="2241" t="s">
        <v>2571</v>
      </c>
      <c r="E15" s="2241">
        <v>2004110128</v>
      </c>
      <c r="F15" s="2922">
        <v>47118</v>
      </c>
    </row>
    <row r="16" spans="1:6" ht="20.25" customHeight="1">
      <c r="A16" s="2241" t="s">
        <v>1923</v>
      </c>
      <c r="B16" s="2241">
        <f ca="1">IF(C16&lt;B2,"已过期",1120140022)</f>
        <v>1120140022</v>
      </c>
      <c r="C16" s="2921">
        <v>44029</v>
      </c>
      <c r="D16" s="2241" t="s">
        <v>1923</v>
      </c>
      <c r="E16" s="2241">
        <f ca="1">IF(F16&lt;B2,"已过期",2008110059)</f>
        <v>2008110059</v>
      </c>
      <c r="F16" s="2922">
        <v>47177</v>
      </c>
    </row>
    <row r="17" spans="1:7" ht="20.25" customHeight="1">
      <c r="A17" s="2241"/>
      <c r="B17" s="2241"/>
      <c r="C17" s="2921"/>
      <c r="D17" s="2241"/>
      <c r="E17" s="2241"/>
      <c r="F17" s="2922"/>
    </row>
    <row r="18" spans="1:7" ht="20.25" customHeight="1">
      <c r="A18" s="2241"/>
      <c r="B18" s="2241"/>
      <c r="C18" s="2921"/>
      <c r="D18" s="2241"/>
      <c r="E18" s="2241"/>
      <c r="F18" s="2922"/>
    </row>
    <row r="19" spans="1:7" ht="20.25" customHeight="1">
      <c r="A19" s="2241"/>
      <c r="B19" s="2241"/>
      <c r="C19" s="2921"/>
      <c r="D19" s="2241"/>
      <c r="E19" s="2241"/>
      <c r="F19" s="2241"/>
    </row>
    <row r="20" spans="1:7" ht="20.25" customHeight="1">
      <c r="A20" s="2241"/>
      <c r="B20" s="2241"/>
      <c r="C20" s="2921"/>
      <c r="D20" s="2241"/>
      <c r="E20" s="2241"/>
      <c r="F20" s="2241"/>
    </row>
    <row r="21" spans="1:7" ht="20.25" customHeight="1">
      <c r="A21" s="2241"/>
      <c r="B21" s="2241"/>
      <c r="C21" s="2921"/>
      <c r="D21" s="2241" t="s">
        <v>1924</v>
      </c>
      <c r="E21" s="2241">
        <f ca="1">IF(F21&lt;B2,"已过期",2011110090)</f>
        <v>2011110090</v>
      </c>
      <c r="F21" s="2922">
        <v>48302</v>
      </c>
    </row>
    <row r="22" spans="1:7" ht="20.25" customHeight="1">
      <c r="A22" s="2241" t="s">
        <v>1925</v>
      </c>
      <c r="B22" s="2241">
        <f ca="1">IF(C22&lt;B2,"已过期",1120020033)</f>
        <v>1120020033</v>
      </c>
      <c r="C22" s="2921">
        <v>43304</v>
      </c>
      <c r="D22" s="2241" t="s">
        <v>1925</v>
      </c>
      <c r="E22" s="2241">
        <f ca="1">IF(F22&lt;B2,"已过期",2000110137)</f>
        <v>2000110137</v>
      </c>
      <c r="F22" s="2922">
        <v>46387</v>
      </c>
    </row>
    <row r="23" spans="1:7" ht="20.25" customHeight="1">
      <c r="A23" s="2241" t="s">
        <v>1926</v>
      </c>
      <c r="B23" s="2241">
        <f ca="1">IF(C23&lt;B2,"已过期",1120130048)</f>
        <v>1120130048</v>
      </c>
      <c r="C23" s="2921">
        <v>43686</v>
      </c>
      <c r="D23" s="2241"/>
      <c r="E23" s="2241"/>
      <c r="F23" s="2241"/>
    </row>
    <row r="24" spans="1:7" s="2245" customFormat="1" ht="20.25" customHeight="1">
      <c r="A24" s="2243" t="s">
        <v>2051</v>
      </c>
      <c r="B24" s="2243" t="s">
        <v>2051</v>
      </c>
      <c r="C24" s="2921"/>
      <c r="D24" s="2923" t="s">
        <v>2051</v>
      </c>
      <c r="E24" s="2243" t="s">
        <v>2051</v>
      </c>
      <c r="F24" s="2244"/>
    </row>
    <row r="25" spans="1:7" ht="20.25" customHeight="1">
      <c r="A25" s="3348" t="s">
        <v>1927</v>
      </c>
      <c r="B25" s="3348"/>
      <c r="C25" s="3348"/>
      <c r="D25" s="3348"/>
      <c r="E25" s="3348"/>
      <c r="F25" s="3348"/>
      <c r="G25" s="3348"/>
    </row>
    <row r="26" spans="1:7" ht="20.25" customHeight="1">
      <c r="A26" s="3349" t="s">
        <v>1928</v>
      </c>
      <c r="B26" s="3349"/>
      <c r="C26" s="3349"/>
      <c r="D26" s="3349" t="s">
        <v>1929</v>
      </c>
      <c r="E26" s="3349"/>
      <c r="F26" s="3349"/>
    </row>
    <row r="27" spans="1:7" s="2249" customFormat="1" ht="20.25" customHeight="1">
      <c r="A27" s="2246" t="s">
        <v>1930</v>
      </c>
      <c r="B27" s="2247" t="s">
        <v>1931</v>
      </c>
      <c r="C27" s="2247" t="s">
        <v>1932</v>
      </c>
      <c r="D27" s="2248" t="s">
        <v>1930</v>
      </c>
      <c r="E27" s="2247" t="s">
        <v>1931</v>
      </c>
      <c r="F27" s="2247" t="s">
        <v>1932</v>
      </c>
    </row>
    <row r="28" spans="1:7" s="2249" customFormat="1" ht="20.25" customHeight="1">
      <c r="A28" s="2250" t="s">
        <v>1933</v>
      </c>
      <c r="B28" s="2250" t="s">
        <v>1934</v>
      </c>
      <c r="C28" s="2251">
        <v>43725</v>
      </c>
      <c r="D28" s="2250" t="s">
        <v>1935</v>
      </c>
      <c r="E28" s="2250" t="s">
        <v>1936</v>
      </c>
      <c r="F28" s="2252">
        <v>44377</v>
      </c>
    </row>
    <row r="29" spans="1:7" s="2249" customFormat="1" ht="20.25" customHeight="1">
      <c r="A29" s="2250"/>
      <c r="B29" s="2250"/>
      <c r="C29" s="2253"/>
      <c r="D29" s="2250" t="s">
        <v>1937</v>
      </c>
      <c r="E29" s="2254" t="s">
        <v>2932</v>
      </c>
      <c r="F29" s="2255">
        <v>43281</v>
      </c>
    </row>
    <row r="30" spans="1:7" ht="20.25" customHeight="1">
      <c r="C30" s="2256"/>
      <c r="D30" s="22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02" t="s">
        <v>2542</v>
      </c>
      <c r="R1" s="250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26" t="s">
        <v>2945</v>
      </c>
      <c r="C18" s="1555"/>
    </row>
    <row r="19" spans="1:3">
      <c r="A19" s="8" t="s">
        <v>120</v>
      </c>
      <c r="B19" s="3026" t="s">
        <v>2953</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678" t="s">
        <v>1943</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待定拟使用惠州市广东省惠州市大亚湾经济技术开发区霞涌镇乌山头地段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1985</v>
      </c>
      <c r="B52" s="1681" t="s">
        <v>1986</v>
      </c>
      <c r="C52" s="1679" t="s">
        <v>1987</v>
      </c>
      <c r="D52" s="1679" t="s">
        <v>1988</v>
      </c>
      <c r="E52" s="1680"/>
    </row>
    <row r="53" spans="1:5">
      <c r="A53" s="3350" t="s">
        <v>1989</v>
      </c>
      <c r="B53" s="1679" t="s">
        <v>1995</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c r="D53" s="1680"/>
      <c r="E53" s="1680"/>
    </row>
    <row r="54" spans="1:5">
      <c r="A54" s="3350"/>
      <c r="B54" s="1679" t="s">
        <v>1996</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3350"/>
      <c r="B55" s="1679" t="s">
        <v>1990</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3350"/>
      <c r="B56" s="1679" t="s">
        <v>1991</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3350"/>
      <c r="B57" s="1679" t="s">
        <v>1992</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2047</v>
      </c>
      <c r="B58" s="1679"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20171030指标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2017-12-27T08:51:37Z</dcterms:modified>
</cp:coreProperties>
</file>