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办公 (租金)" sheetId="78" r:id="rId45"/>
    <sheet name="Sheet1" sheetId="77" r:id="rId46"/>
  </sheets>
  <definedNames>
    <definedName name="_xlnm._FilterDatabase" localSheetId="22" hidden="1">'比较法-办公'!$A$1:$L$50</definedName>
    <definedName name="_xlnm._FilterDatabase" localSheetId="44"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44">'比较法-办公 (租金)'!$B$119:$M$119</definedName>
    <definedName name="办公层高">'比较法-办公'!$B$119:$M$119</definedName>
    <definedName name="办公朝向" localSheetId="44">'比较法-办公 (租金)'!$B$91:$M$91</definedName>
    <definedName name="办公朝向">'比较法-办公'!$B$91:$M$91</definedName>
    <definedName name="办公道路级别" localSheetId="44">'比较法-办公 (租金)'!$B$87:$M$87</definedName>
    <definedName name="办公道路级别">'比较法-办公'!$B$87:$M$87</definedName>
    <definedName name="办公公共部分装修" localSheetId="44">'比较法-办公 (租金)'!$B$108:$M$108</definedName>
    <definedName name="办公公共部分装修">'比较法-办公'!$B$108:$M$108</definedName>
    <definedName name="办公基础设施水平" localSheetId="44">'比较法-办公 (租金)'!$B$117:$M$117</definedName>
    <definedName name="办公基础设施水平">'比较法-办公'!$B$117:$M$117</definedName>
    <definedName name="办公集聚程度">定义!$M$1:$M$6</definedName>
    <definedName name="办公建筑结构" localSheetId="44">'比较法-办公 (租金)'!$B$106:$M$106</definedName>
    <definedName name="办公建筑结构">'比较法-办公'!$B$106:$M$106</definedName>
    <definedName name="办公建筑类型" localSheetId="44">'比较法-办公 (租金)'!$B$101:$M$101</definedName>
    <definedName name="办公建筑类型">'比较法-办公'!$B$101:$M$101</definedName>
    <definedName name="办公交易情况" localSheetId="44">'比较法-办公 (租金)'!$A$62:$M$62</definedName>
    <definedName name="办公交易情况">'比较法-办公'!$A$62:$M$62</definedName>
    <definedName name="办公楼层" localSheetId="44">'比较法-办公 (租金)'!$B$89:$M$89</definedName>
    <definedName name="办公楼层">'比较法-办公'!$B$89:$M$89</definedName>
    <definedName name="办公内部装修" localSheetId="44">'比较法-办公 (租金)'!$B$123:$M$123</definedName>
    <definedName name="办公内部装修">'比较法-办公'!$B$123:$M$123</definedName>
    <definedName name="办公物业管理" localSheetId="44">'比较法-办公 (租金)'!$B$115:$M$115</definedName>
    <definedName name="办公物业管理">'比较法-办公'!$B$115:$M$115</definedName>
    <definedName name="办公用途" localSheetId="4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4">'比较法-办公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8" i="34" l="1"/>
  <c r="G48" i="34"/>
  <c r="E48" i="34"/>
  <c r="N6" i="1"/>
  <c r="C37" i="78"/>
  <c r="E37" i="78"/>
  <c r="D112" i="78"/>
  <c r="E112" i="78"/>
  <c r="F112" i="78"/>
  <c r="F37" i="78"/>
  <c r="AA37" i="78"/>
  <c r="D86" i="78"/>
  <c r="E86" i="78"/>
  <c r="F23" i="78"/>
  <c r="AA23" i="78"/>
  <c r="R48" i="78"/>
  <c r="B2" i="1"/>
  <c r="C7" i="78"/>
  <c r="C59" i="78"/>
  <c r="D59" i="78"/>
  <c r="E59" i="78"/>
  <c r="F59" i="78"/>
  <c r="G59" i="78"/>
  <c r="H59" i="78"/>
  <c r="I59" i="78"/>
  <c r="J59" i="78"/>
  <c r="K59" i="78"/>
  <c r="L59" i="78"/>
  <c r="M59" i="78"/>
  <c r="N59" i="78"/>
  <c r="O59" i="78"/>
  <c r="F7" i="78"/>
  <c r="AA7" i="78"/>
  <c r="F8" i="78"/>
  <c r="AA8" i="78"/>
  <c r="C64" i="78"/>
  <c r="F9" i="78"/>
  <c r="AA9" i="78"/>
  <c r="F67" i="78"/>
  <c r="F10" i="78"/>
  <c r="AA10" i="78"/>
  <c r="F11" i="78"/>
  <c r="AA11" i="78"/>
  <c r="B71" i="78"/>
  <c r="F12" i="78"/>
  <c r="AA12" i="78"/>
  <c r="B73" i="78"/>
  <c r="F13" i="78"/>
  <c r="AA13" i="78"/>
  <c r="B75" i="78"/>
  <c r="F14" i="78"/>
  <c r="AA14" i="78"/>
  <c r="D78" i="78"/>
  <c r="F15" i="78"/>
  <c r="AA15" i="78"/>
  <c r="D80" i="78"/>
  <c r="F17" i="78"/>
  <c r="AA17" i="78"/>
  <c r="D82" i="78"/>
  <c r="F19" i="78"/>
  <c r="AA19" i="78"/>
  <c r="D84" i="78"/>
  <c r="E84" i="78"/>
  <c r="F21" i="78"/>
  <c r="AA21" i="78"/>
  <c r="D88" i="78"/>
  <c r="E88" i="78"/>
  <c r="F88" i="78"/>
  <c r="G88" i="78"/>
  <c r="F25" i="78"/>
  <c r="AA25" i="78"/>
  <c r="B89" i="78"/>
  <c r="D90" i="78"/>
  <c r="F27" i="78"/>
  <c r="AA27" i="78"/>
  <c r="B91" i="78"/>
  <c r="F28" i="78"/>
  <c r="AA28" i="78"/>
  <c r="B93" i="78"/>
  <c r="F29" i="78"/>
  <c r="AA29" i="78"/>
  <c r="B95" i="78"/>
  <c r="F30" i="78"/>
  <c r="AA30" i="78"/>
  <c r="B97" i="78"/>
  <c r="F31" i="78"/>
  <c r="AA31" i="78"/>
  <c r="B99" i="78"/>
  <c r="F32" i="78"/>
  <c r="AA32" i="78"/>
  <c r="F33" i="78"/>
  <c r="AA33" i="78"/>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34" i="78"/>
  <c r="F34" i="78"/>
  <c r="AA34" i="78"/>
  <c r="F35" i="78"/>
  <c r="AA35" i="78"/>
  <c r="F36" i="78"/>
  <c r="AA36" i="78"/>
  <c r="F38" i="78"/>
  <c r="AA38" i="78"/>
  <c r="D116" i="78"/>
  <c r="F39" i="78"/>
  <c r="AA39" i="78"/>
  <c r="D118" i="78"/>
  <c r="E118" i="78"/>
  <c r="F40" i="78"/>
  <c r="AA40" i="78"/>
  <c r="F41" i="78"/>
  <c r="AA41" i="78"/>
  <c r="F42" i="78"/>
  <c r="AA42" i="78"/>
  <c r="D124" i="78"/>
  <c r="F43" i="78"/>
  <c r="AA43" i="78"/>
  <c r="D126" i="78"/>
  <c r="F44" i="78"/>
  <c r="AA44" i="78"/>
  <c r="B127" i="78"/>
  <c r="F45" i="78"/>
  <c r="AA45" i="78"/>
  <c r="B129" i="78"/>
  <c r="F46" i="78"/>
  <c r="AA46" i="78"/>
  <c r="B131" i="78"/>
  <c r="F47" i="78"/>
  <c r="AA47" i="78"/>
  <c r="R49" i="78"/>
  <c r="G37" i="78"/>
  <c r="H37" i="78"/>
  <c r="AB37" i="78"/>
  <c r="H23" i="78"/>
  <c r="AB23" i="78"/>
  <c r="T48"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5" i="78"/>
  <c r="AB25" i="78"/>
  <c r="H27" i="78"/>
  <c r="AB27" i="78"/>
  <c r="H28" i="78"/>
  <c r="AB28" i="78"/>
  <c r="H29" i="78"/>
  <c r="AB29" i="78"/>
  <c r="H30" i="78"/>
  <c r="AB30" i="78"/>
  <c r="H31" i="78"/>
  <c r="AB31" i="78"/>
  <c r="H32" i="78"/>
  <c r="AB32" i="78"/>
  <c r="H33" i="78"/>
  <c r="AB33" i="78"/>
  <c r="H34" i="78"/>
  <c r="AB34" i="78"/>
  <c r="H35" i="78"/>
  <c r="AB35" i="78"/>
  <c r="H36" i="78"/>
  <c r="AB36" i="78"/>
  <c r="H38" i="78"/>
  <c r="AB38" i="78"/>
  <c r="H39" i="78"/>
  <c r="AB39" i="78"/>
  <c r="H40" i="78"/>
  <c r="AB40" i="78"/>
  <c r="H41" i="78"/>
  <c r="AB41" i="78"/>
  <c r="H42" i="78"/>
  <c r="AB42" i="78"/>
  <c r="H43" i="78"/>
  <c r="AB43" i="78"/>
  <c r="H44" i="78"/>
  <c r="AB44" i="78"/>
  <c r="H45" i="78"/>
  <c r="AB45" i="78"/>
  <c r="H46" i="78"/>
  <c r="AB46" i="78"/>
  <c r="H47" i="78"/>
  <c r="AB47" i="78"/>
  <c r="T49" i="78"/>
  <c r="I37" i="78"/>
  <c r="J37" i="78"/>
  <c r="AC37" i="78"/>
  <c r="J23" i="78"/>
  <c r="AC23" i="78"/>
  <c r="V48"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5" i="78"/>
  <c r="AC25" i="78"/>
  <c r="J27" i="78"/>
  <c r="AC27" i="78"/>
  <c r="J28" i="78"/>
  <c r="AC28" i="78"/>
  <c r="J29" i="78"/>
  <c r="AC29" i="78"/>
  <c r="J30" i="78"/>
  <c r="AC30" i="78"/>
  <c r="J31" i="78"/>
  <c r="AC31" i="78"/>
  <c r="J32" i="78"/>
  <c r="AC32" i="78"/>
  <c r="J33" i="78"/>
  <c r="AC33" i="78"/>
  <c r="J34" i="78"/>
  <c r="AC34" i="78"/>
  <c r="J35" i="78"/>
  <c r="AC35" i="78"/>
  <c r="J36" i="78"/>
  <c r="AC36" i="78"/>
  <c r="J38" i="78"/>
  <c r="AC38" i="78"/>
  <c r="J39" i="78"/>
  <c r="AC39" i="78"/>
  <c r="J40" i="78"/>
  <c r="AC40" i="78"/>
  <c r="J41" i="78"/>
  <c r="AC41" i="78"/>
  <c r="J42" i="78"/>
  <c r="AC42" i="78"/>
  <c r="J43" i="78"/>
  <c r="AC43" i="78"/>
  <c r="J44" i="78"/>
  <c r="AC44" i="78"/>
  <c r="J45" i="78"/>
  <c r="AC45" i="78"/>
  <c r="J46" i="78"/>
  <c r="AC46" i="78"/>
  <c r="J47" i="78"/>
  <c r="AC47" i="78"/>
  <c r="V49" i="78"/>
  <c r="R50" i="78"/>
  <c r="C50" i="78"/>
  <c r="B3" i="78"/>
  <c r="U6" i="1"/>
  <c r="E126" i="78"/>
  <c r="F126" i="78"/>
  <c r="G126" i="78"/>
  <c r="E124" i="78"/>
  <c r="F124" i="78"/>
  <c r="G124" i="78"/>
  <c r="H124" i="78"/>
  <c r="I124" i="78"/>
  <c r="J124" i="78"/>
  <c r="K124" i="78"/>
  <c r="L124" i="78"/>
  <c r="M124" i="78"/>
  <c r="D120" i="78"/>
  <c r="E120" i="78"/>
  <c r="F120" i="78"/>
  <c r="G120" i="78"/>
  <c r="H120" i="78"/>
  <c r="I120" i="78"/>
  <c r="J120" i="78"/>
  <c r="K120" i="78"/>
  <c r="L120" i="78"/>
  <c r="M120" i="78"/>
  <c r="F118" i="78"/>
  <c r="G118" i="78"/>
  <c r="E116" i="78"/>
  <c r="F116" i="78"/>
  <c r="G116" i="78"/>
  <c r="H116" i="78"/>
  <c r="I116" i="78"/>
  <c r="J116" i="78"/>
  <c r="K116" i="78"/>
  <c r="L116" i="78"/>
  <c r="M116" i="78"/>
  <c r="D114" i="78"/>
  <c r="E114" i="78"/>
  <c r="F114" i="78"/>
  <c r="G114" i="78"/>
  <c r="H114" i="78"/>
  <c r="I114" i="78"/>
  <c r="J114" i="78"/>
  <c r="K114" i="78"/>
  <c r="L114" i="78"/>
  <c r="M114"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D92" i="78"/>
  <c r="E92" i="78"/>
  <c r="F92" i="78"/>
  <c r="G92" i="78"/>
  <c r="H92" i="78"/>
  <c r="I92" i="78"/>
  <c r="J92" i="78"/>
  <c r="K92" i="78"/>
  <c r="L92" i="78"/>
  <c r="M92" i="78"/>
  <c r="E90" i="78"/>
  <c r="F90" i="78"/>
  <c r="G90" i="78"/>
  <c r="H90" i="78"/>
  <c r="I90" i="78"/>
  <c r="J90" i="78"/>
  <c r="K90" i="78"/>
  <c r="L90" i="78"/>
  <c r="M90" i="78"/>
  <c r="H88" i="78"/>
  <c r="I88" i="78"/>
  <c r="J88" i="78"/>
  <c r="K88" i="78"/>
  <c r="L88" i="78"/>
  <c r="M88" i="78"/>
  <c r="F86" i="78"/>
  <c r="G86" i="78"/>
  <c r="F84" i="78"/>
  <c r="G84" i="78"/>
  <c r="E82" i="78"/>
  <c r="F82" i="78"/>
  <c r="G82" i="78"/>
  <c r="E80" i="78"/>
  <c r="F80" i="78"/>
  <c r="G80" i="78"/>
  <c r="E78" i="78"/>
  <c r="F78" i="78"/>
  <c r="G78" i="78"/>
  <c r="D70" i="78"/>
  <c r="E70" i="78"/>
  <c r="F70" i="78"/>
  <c r="G70" i="78"/>
  <c r="H70" i="78"/>
  <c r="I70" i="78"/>
  <c r="J70" i="78"/>
  <c r="K70" i="78"/>
  <c r="L70" i="78"/>
  <c r="M70" i="78"/>
  <c r="M68" i="78"/>
  <c r="L68" i="78"/>
  <c r="K68" i="78"/>
  <c r="J68" i="78"/>
  <c r="I68" i="78"/>
  <c r="H68" i="78"/>
  <c r="G68" i="78"/>
  <c r="F68" i="78"/>
  <c r="E68" i="78"/>
  <c r="D68" i="78"/>
  <c r="C68" i="78"/>
  <c r="G67" i="78"/>
  <c r="H67" i="78"/>
  <c r="I67" i="78"/>
  <c r="I55" i="78"/>
  <c r="J55" i="78"/>
  <c r="G55" i="78"/>
  <c r="H55" i="78"/>
  <c r="E55" i="78"/>
  <c r="F55" i="78"/>
  <c r="I49" i="78"/>
  <c r="E49" i="78"/>
  <c r="I54" i="78"/>
  <c r="J54" i="78"/>
  <c r="G49" i="78"/>
  <c r="G54" i="78"/>
  <c r="H54" i="78"/>
  <c r="E54" i="78"/>
  <c r="F54" i="78"/>
  <c r="I53" i="78"/>
  <c r="J53" i="78"/>
  <c r="G53" i="78"/>
  <c r="H53" i="78"/>
  <c r="E53" i="78"/>
  <c r="F53" i="78"/>
  <c r="P50" i="78"/>
  <c r="P49" i="78"/>
  <c r="C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I5" i="78"/>
  <c r="G5" i="78"/>
  <c r="F19" i="6"/>
  <c r="E19" i="6"/>
  <c r="D3" i="78"/>
  <c r="D2" i="78"/>
  <c r="B2" i="78"/>
  <c r="E37" i="34"/>
  <c r="I37" i="34"/>
  <c r="G37" i="34"/>
  <c r="I34" i="34"/>
  <c r="G34" i="34"/>
  <c r="E34" i="34"/>
  <c r="I5" i="34"/>
  <c r="G5" i="34"/>
  <c r="C37" i="34"/>
  <c r="C34" i="34"/>
  <c r="C7" i="34"/>
  <c r="Y6" i="1"/>
  <c r="B55" i="1"/>
  <c r="B56" i="1"/>
  <c r="B57" i="1"/>
  <c r="B58" i="1"/>
  <c r="B59" i="1"/>
  <c r="B54" i="1"/>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A6" i="1"/>
  <c r="G1" i="67"/>
  <c r="I15" i="4"/>
  <c r="F6" i="1"/>
  <c r="L48" i="67"/>
  <c r="J50" i="67"/>
  <c r="J51" i="67"/>
  <c r="J53" i="67"/>
  <c r="M47"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Y6" i="3"/>
  <c r="D3" i="6"/>
  <c r="E3" i="6"/>
  <c r="D19"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B13" i="49"/>
  <c r="E4" i="4"/>
  <c r="B9" i="49"/>
  <c r="E16"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4"/>
  <c r="C19" i="9"/>
  <c r="E2" i="68"/>
  <c r="D2" i="35"/>
  <c r="B20" i="31"/>
  <c r="B2" i="36"/>
  <c r="B3" i="36"/>
  <c r="B2" i="35"/>
  <c r="B3" i="35"/>
  <c r="B2" i="37"/>
  <c r="B3" i="37"/>
  <c r="B3" i="34"/>
  <c r="B2" i="21"/>
  <c r="B3" i="21"/>
  <c r="B2" i="70"/>
  <c r="B3" i="70"/>
  <c r="C102" i="9"/>
  <c r="C21" i="9"/>
  <c r="B3" i="68"/>
  <c r="D19" i="9"/>
  <c r="C20" i="9"/>
  <c r="D20" i="9"/>
  <c r="G19" i="9"/>
  <c r="D102" i="9"/>
  <c r="D22" i="9"/>
  <c r="D21" i="9"/>
  <c r="C103" i="9"/>
  <c r="D103" i="9"/>
  <c r="G20" i="9"/>
  <c r="C32" i="9"/>
  <c r="G21" i="9"/>
  <c r="D35" i="9"/>
  <c r="C35" i="9"/>
  <c r="C34" i="9"/>
  <c r="D34" i="9"/>
  <c r="H118" i="9"/>
  <c r="H101"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<sst xmlns="http://schemas.openxmlformats.org/spreadsheetml/2006/main" count="7736" uniqueCount="3140">
  <si>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</si>
  <si>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</si>
  <si>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</si>
  <si>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</si>
  <si>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</si>
  <si>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</si>
  <si>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</si>
  <si>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</si>
  <si>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</si>
  <si>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</si>
  <si>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</si>
  <si>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</si>
  <si>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</si>
  <si>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</si>
  <si>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</si>
  <si>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</si>
  <si>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</si>
  <si>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</si>
  <si>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</si>
  <si>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</si>
  <si>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</si>
  <si>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</si>
  <si>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</si>
  <si>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</si>
  <si>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</si>
  <si>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</si>
  <si>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</si>
  <si>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</si>
  <si>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</si>
  <si>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</si>
  <si>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</si>
  <si>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</si>
  <si>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</si>
  <si>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</si>
  <si>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</si>
  <si>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</si>
  <si>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</si>
  <si>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</si>
  <si>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</si>
  <si>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</si>
  <si>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</si>
  <si>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</si>
  <si>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</si>
  <si>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</si>
  <si>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</si>
  <si>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</si>
  <si>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</si>
  <si>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</si>
  <si>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</si>
  <si>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</si>
  <si>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</si>
  <si>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</si>
  <si>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</si>
  <si>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</si>
  <si>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</si>
  <si>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</si>
  <si>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</si>
  <si>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</si>
  <si>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</si>
  <si>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</si>
  <si>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</si>
  <si>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</si>
  <si>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</si>
  <si>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</si>
  <si>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</si>
  <si>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</si>
  <si>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</si>
  <si>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</si>
  <si>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</si>
  <si>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</si>
  <si>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</si>
  <si>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</si>
  <si>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</si>
  <si>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</si>
  <si>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</si>
  <si>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</si>
  <si>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</si>
  <si>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</si>
  <si>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</si>
  <si>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</si>
  <si>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</si>
  <si>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</si>
  <si>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</si>
  <si>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</si>
  <si>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</si>
  <si>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</si>
  <si>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</si>
  <si>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</si>
  <si>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</si>
  <si>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</si>
  <si>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</si>
  <si>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</si>
  <si>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</si>
  <si>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</si>
  <si>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</si>
  <si>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</si>
  <si>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</si>
  <si>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</si>
  <si>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</si>
  <si>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</si>
  <si>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</si>
  <si>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</si>
  <si>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</si>
  <si>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</si>
  <si>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</si>
  <si>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</si>
  <si>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</si>
  <si>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</si>
  <si>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</si>
  <si>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</si>
  <si>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</si>
  <si>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</si>
  <si>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</si>
  <si>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</si>
  <si>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</si>
  <si>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</si>
  <si>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</si>
  <si>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</si>
  <si>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</si>
  <si>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</si>
  <si>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</si>
  <si>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</si>
  <si>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</si>
  <si>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</si>
  <si>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</si>
  <si>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</si>
  <si>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</si>
  <si>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</si>
  <si>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</si>
  <si>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</si>
  <si>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</si>
  <si>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</si>
  <si>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</si>
  <si>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</si>
  <si>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</si>
  <si>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</si>
  <si>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</si>
  <si>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</si>
  <si>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</si>
  <si>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</si>
  <si>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</si>
  <si>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</si>
  <si>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</si>
  <si>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</si>
  <si>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</si>
  <si>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</si>
  <si>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</si>
  <si>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</si>
  <si>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</si>
  <si>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</si>
  <si>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</si>
  <si>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</si>
  <si>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</si>
  <si>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</si>
  <si>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</si>
  <si>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</si>
  <si>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</si>
  <si>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</si>
  <si>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</si>
  <si>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</si>
  <si>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</si>
  <si>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</si>
  <si>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</si>
  <si>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</si>
  <si>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</si>
  <si>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</si>
  <si>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</si>
  <si>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</si>
  <si>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</si>
  <si>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</si>
  <si>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</si>
  <si>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</si>
  <si>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</si>
  <si>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</si>
  <si>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</si>
  <si>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</si>
  <si>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</si>
  <si>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</si>
  <si>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</si>
  <si>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</si>
  <si>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</si>
  <si>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</si>
  <si>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</si>
  <si>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</si>
  <si>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</si>
  <si>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</si>
  <si>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</si>
  <si>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</si>
  <si>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</si>
  <si>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</si>
  <si>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</si>
  <si>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</si>
  <si>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</si>
  <si>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</si>
  <si>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</si>
  <si>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</si>
  <si>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</si>
  <si>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</si>
  <si>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</si>
  <si>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</si>
  <si>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</si>
  <si>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</si>
  <si>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</si>
  <si>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</si>
  <si>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</si>
  <si>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</si>
  <si>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</si>
  <si>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</si>
  <si>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</si>
  <si>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</si>
  <si>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</si>
  <si>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</si>
  <si>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</si>
  <si>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</si>
  <si>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</si>
  <si>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</si>
  <si>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</si>
  <si>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</si>
  <si>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</si>
  <si>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</si>
  <si>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</si>
  <si>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</si>
  <si>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</si>
  <si>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</si>
  <si>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</si>
  <si>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</si>
  <si>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</si>
  <si>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</si>
  <si>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</si>
  <si>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</si>
  <si>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</si>
  <si>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</si>
  <si>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</si>
  <si>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</si>
  <si>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</si>
  <si>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</si>
  <si>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</si>
  <si>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</si>
  <si>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</si>
  <si>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</si>
  <si>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</si>
  <si>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</si>
  <si>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</si>
  <si>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</si>
  <si>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</si>
  <si>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</si>
  <si>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</si>
  <si>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</si>
  <si>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</si>
  <si>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</si>
  <si>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</si>
  <si>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</si>
  <si>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</si>
  <si>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</si>
  <si>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</si>
  <si>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</si>
  <si>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</si>
  <si>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</si>
  <si>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</si>
  <si>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</si>
  <si>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</si>
  <si>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</si>
  <si>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</si>
  <si>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</si>
  <si>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</si>
  <si>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</si>
  <si>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</si>
  <si>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</si>
  <si>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</si>
  <si>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</si>
  <si>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</si>
  <si>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</si>
  <si>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</si>
  <si>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</si>
  <si>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</si>
  <si>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</si>
  <si>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</si>
  <si>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</si>
  <si>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</si>
  <si>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</si>
  <si>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</si>
  <si>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</si>
  <si>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</si>
  <si>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</si>
  <si>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</si>
  <si>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</si>
  <si>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</si>
  <si>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</si>
  <si>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</si>
  <si>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</si>
  <si>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</si>
  <si>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</si>
  <si>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</si>
  <si>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</si>
  <si>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</si>
  <si>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</si>
  <si>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</si>
  <si>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</si>
  <si>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</si>
  <si>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</si>
  <si>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</si>
  <si>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</si>
  <si>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</si>
  <si>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</si>
  <si>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</si>
  <si>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</si>
  <si>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</si>
  <si>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</si>
  <si>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</si>
  <si>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</si>
  <si>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</si>
  <si>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</si>
  <si>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</si>
  <si>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</si>
  <si>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</si>
  <si>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</si>
  <si>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</si>
  <si>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</si>
  <si>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</si>
  <si>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</si>
  <si>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</si>
  <si>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</si>
  <si>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</si>
  <si>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</si>
  <si>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</si>
  <si>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</si>
  <si>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</si>
  <si>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</si>
  <si>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</si>
  <si>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</si>
  <si>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</si>
  <si>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</si>
  <si>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</si>
  <si>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</si>
  <si>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</si>
  <si>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</si>
  <si>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</si>
  <si>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</si>
  <si>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</si>
  <si>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</si>
  <si>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</si>
  <si>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</si>
  <si>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</si>
  <si>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</si>
  <si>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</si>
  <si>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</si>
  <si>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</si>
  <si>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</si>
  <si>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</si>
  <si>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</si>
  <si>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</si>
  <si>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</si>
  <si>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</si>
  <si>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</si>
  <si>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</si>
  <si>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</si>
  <si>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</si>
  <si>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</si>
  <si>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</si>
  <si>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</si>
  <si>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</si>
  <si>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</si>
  <si>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</si>
  <si>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</si>
  <si>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</si>
  <si>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</si>
  <si>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</si>
  <si>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</si>
  <si>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</si>
  <si>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</si>
  <si>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</si>
  <si>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</si>
  <si>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</si>
  <si>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</si>
  <si>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</si>
  <si>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</si>
  <si>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</si>
  <si>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</si>
  <si>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</si>
  <si>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</si>
  <si>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</si>
  <si>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</si>
  <si>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</si>
  <si>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</si>
  <si>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</si>
  <si>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</si>
  <si>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</si>
  <si>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</si>
  <si>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</si>
  <si>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</si>
  <si>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</si>
  <si>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</si>
  <si>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</si>
  <si>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</si>
  <si>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</si>
  <si>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</si>
  <si>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</si>
  <si>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</si>
  <si>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</si>
  <si>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</si>
  <si>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</si>
  <si>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</si>
  <si>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</si>
  <si>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</si>
  <si>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</si>
  <si>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</si>
  <si>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</si>
  <si>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</si>
  <si>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</si>
  <si>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</si>
  <si>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</si>
  <si>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</si>
  <si>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</si>
  <si>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</si>
  <si>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</si>
  <si>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</si>
  <si>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</si>
  <si>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</si>
  <si>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</si>
  <si>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</si>
  <si>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</si>
  <si>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</si>
  <si>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</si>
  <si>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</si>
  <si>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</si>
  <si>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</si>
  <si>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</si>
  <si>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</si>
  <si>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</si>
  <si>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</si>
  <si>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</si>
  <si>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</si>
  <si>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</si>
  <si>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</si>
  <si>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</si>
  <si>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</si>
  <si>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</si>
  <si>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</si>
  <si>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</si>
  <si>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</si>
  <si>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</si>
  <si>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</si>
  <si>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</si>
  <si>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</si>
  <si>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</si>
  <si>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</si>
  <si>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</si>
  <si>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</si>
  <si>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</si>
  <si>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</si>
  <si>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</si>
  <si>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</si>
  <si>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</si>
  <si>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</si>
  <si>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</si>
  <si>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</si>
  <si>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</si>
  <si>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</si>
  <si>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</si>
  <si>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</si>
  <si>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</si>
  <si>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</si>
  <si>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</si>
  <si>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</si>
  <si>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</si>
  <si>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</si>
  <si>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</si>
  <si>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</si>
  <si>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</si>
  <si>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</si>
  <si>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</si>
  <si>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</si>
  <si>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</si>
  <si>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</si>
  <si>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</si>
  <si>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</si>
  <si>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</si>
  <si>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</si>
  <si>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</si>
  <si>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</si>
  <si>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</si>
  <si>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</si>
  <si>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</si>
  <si>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</si>
  <si>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</si>
  <si>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</si>
  <si>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</si>
  <si>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</si>
  <si>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</si>
  <si>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</si>
  <si>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</si>
  <si>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</si>
  <si>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</si>
  <si>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</si>
  <si>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</si>
  <si>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</si>
  <si>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</si>
  <si>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</si>
  <si>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</si>
  <si>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</si>
  <si>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</si>
  <si>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</si>
  <si>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</si>
  <si>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</si>
  <si>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</si>
  <si>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</si>
  <si>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</si>
  <si>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</si>
  <si>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</si>
  <si>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</si>
  <si>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</si>
  <si>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</si>
  <si>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</si>
  <si>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</si>
  <si>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</si>
  <si>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</si>
  <si>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</si>
  <si>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</si>
  <si>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</si>
  <si>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</si>
  <si>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</si>
  <si>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</si>
  <si>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</si>
  <si>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</si>
  <si>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</si>
  <si>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</si>
  <si>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</si>
  <si>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</si>
  <si>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</si>
  <si>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</si>
  <si>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</si>
  <si>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</si>
  <si>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</si>
  <si>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</si>
  <si>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</si>
  <si>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</si>
  <si>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</si>
  <si>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</si>
  <si>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</si>
  <si>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</si>
  <si>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</si>
  <si>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</si>
  <si>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</si>
  <si>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</si>
  <si>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</si>
  <si>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</si>
  <si>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</si>
  <si>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</si>
  <si>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</si>
  <si>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</si>
  <si>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</si>
  <si>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</si>
  <si>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</si>
  <si>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</si>
  <si>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</si>
  <si>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</si>
  <si>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</si>
  <si>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</si>
  <si>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</si>
  <si>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</si>
  <si>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</si>
  <si>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</si>
  <si>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</si>
  <si>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</si>
  <si>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</si>
  <si>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</si>
  <si>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</si>
  <si>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</si>
  <si>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</si>
  <si>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</si>
  <si>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</si>
  <si>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</si>
  <si>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</si>
  <si>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</si>
  <si>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</si>
  <si>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</si>
  <si>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</si>
  <si>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</si>
  <si>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</si>
  <si>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</si>
  <si>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</si>
  <si>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</si>
  <si>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</si>
  <si>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</si>
  <si>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</si>
  <si>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</si>
  <si>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</si>
  <si>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</si>
  <si>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</si>
  <si>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</si>
  <si>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</si>
  <si>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</si>
  <si>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</si>
  <si>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</si>
  <si>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</si>
  <si>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</si>
  <si>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</si>
  <si>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</si>
  <si>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</si>
  <si>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</si>
  <si>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</si>
  <si>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</si>
  <si>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</si>
  <si>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</si>
  <si>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</si>
  <si>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</si>
  <si>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</si>
  <si>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</si>
  <si>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</si>
  <si>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</si>
  <si>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</si>
  <si>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</si>
  <si>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</si>
  <si>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</si>
  <si>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</si>
  <si>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</si>
  <si>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</si>
  <si>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</si>
  <si>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</si>
  <si>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</si>
  <si>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</si>
  <si>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</si>
  <si>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</si>
  <si>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</si>
  <si>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</si>
  <si>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</si>
  <si>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</si>
  <si>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</si>
  <si>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</si>
  <si>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</si>
  <si>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</si>
  <si>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</si>
  <si>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</si>
  <si>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</si>
  <si>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</si>
  <si>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</si>
  <si>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</si>
  <si>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</si>
  <si>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</si>
  <si>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</si>
  <si>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</si>
  <si>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</si>
  <si>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</si>
  <si>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</si>
  <si>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</si>
  <si>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</si>
  <si>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</si>
  <si>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</si>
  <si>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</si>
  <si>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</si>
  <si>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</si>
  <si>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</si>
  <si>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</si>
  <si>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</si>
  <si>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</si>
  <si>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</si>
  <si>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</si>
  <si>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</si>
  <si>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</si>
  <si>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</si>
  <si>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</si>
  <si>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</si>
  <si>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</si>
  <si>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</si>
  <si>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</si>
  <si>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</si>
  <si>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</si>
  <si>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</si>
  <si>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</si>
  <si>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</si>
  <si>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</si>
  <si>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</si>
  <si>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</si>
  <si>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</si>
  <si>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</si>
  <si>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</si>
  <si>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</si>
  <si>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</si>
  <si>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</si>
  <si>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</si>
  <si>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</si>
  <si>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</si>
  <si>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</si>
  <si>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</si>
  <si>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</si>
  <si>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</si>
  <si>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</si>
  <si>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</si>
  <si>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</si>
  <si>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</si>
  <si>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</si>
  <si>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</si>
  <si>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</si>
  <si>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</si>
  <si>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</si>
  <si>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</si>
  <si>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</si>
  <si>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</si>
  <si>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</si>
  <si>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</si>
  <si>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</si>
  <si>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</si>
  <si>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</si>
  <si>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</si>
  <si>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</si>
  <si>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</si>
  <si>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</si>
  <si>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</si>
  <si>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</si>
  <si>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</si>
  <si>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</si>
  <si>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</si>
  <si>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</si>
  <si>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</si>
  <si>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</si>
  <si>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</si>
  <si>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</si>
  <si>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</si>
  <si>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</si>
  <si>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</si>
  <si>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</si>
  <si>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</si>
  <si>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</si>
  <si>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</si>
  <si>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</si>
  <si>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</si>
  <si>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</si>
  <si>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</si>
  <si>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</si>
  <si>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</si>
  <si>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</si>
  <si>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</si>
  <si>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</si>
  <si>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</si>
  <si>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</si>
  <si>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</si>
  <si>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</si>
  <si>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</si>
  <si>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</si>
  <si>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</si>
  <si>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</si>
  <si>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</si>
  <si>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</si>
  <si>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</si>
  <si>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</si>
  <si>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</si>
  <si>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</si>
  <si>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</si>
  <si>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</si>
  <si>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</si>
  <si>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</si>
  <si>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</si>
  <si>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</si>
  <si>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</si>
  <si>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</si>
  <si>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</si>
  <si>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</si>
  <si>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</si>
  <si>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</si>
  <si>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</si>
  <si>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</si>
  <si>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</si>
  <si>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</si>
  <si>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</si>
  <si>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</si>
  <si>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</si>
  <si>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</si>
  <si>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</si>
  <si>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</si>
  <si>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</si>
  <si>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</si>
  <si>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</si>
  <si>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</si>
  <si>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</si>
  <si>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</si>
  <si>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</si>
  <si>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</si>
  <si>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</si>
  <si>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</si>
  <si>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</si>
  <si>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</si>
  <si>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</si>
  <si>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</si>
  <si>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</si>
  <si>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</si>
  <si>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</si>
  <si>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</si>
  <si>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</si>
  <si>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</si>
  <si>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</si>
  <si>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</si>
  <si>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</si>
  <si>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</si>
  <si>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</si>
  <si>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</si>
  <si>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</si>
  <si>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</si>
  <si>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</si>
  <si>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</si>
  <si>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</si>
  <si>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</si>
  <si>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</si>
  <si>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</si>
  <si>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</si>
  <si>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</si>
  <si>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</si>
  <si>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</si>
  <si>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</si>
  <si>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</si>
  <si>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</si>
  <si>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</si>
  <si>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</si>
  <si>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</si>
  <si>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</si>
  <si>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</si>
  <si>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</si>
  <si>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</si>
  <si>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</si>
  <si>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</si>
  <si>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</si>
  <si>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</si>
  <si>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</si>
  <si>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</si>
  <si>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</si>
  <si>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</si>
  <si>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</si>
  <si>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</si>
  <si>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</si>
  <si>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</si>
  <si>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</si>
  <si>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</si>
  <si>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</si>
  <si>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</si>
  <si>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</si>
  <si>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</si>
  <si>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</si>
  <si>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</si>
  <si>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</si>
  <si>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</si>
  <si>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</si>
  <si>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</si>
  <si>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</si>
  <si>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</si>
  <si>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</si>
  <si>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</si>
  <si>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</si>
  <si>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</si>
  <si>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</si>
  <si>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</si>
  <si>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</si>
  <si>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</si>
  <si>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</si>
  <si>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</si>
  <si>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</si>
  <si>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</si>
  <si>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</si>
  <si>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</si>
  <si>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</si>
  <si>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</si>
  <si>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</si>
  <si>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</si>
  <si>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</si>
  <si>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</si>
  <si>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</si>
  <si>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</si>
  <si>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</si>
  <si>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</si>
  <si>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</si>
  <si>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</si>
  <si>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</si>
  <si>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</si>
  <si>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</si>
  <si>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</si>
  <si>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</si>
  <si>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</si>
  <si>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</si>
  <si>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</si>
  <si>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</si>
  <si>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</si>
  <si>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</si>
  <si>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</si>
  <si>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</si>
  <si>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</si>
  <si>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</si>
  <si>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</si>
  <si>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</si>
  <si>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</si>
  <si>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</si>
  <si>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</si>
  <si>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</si>
  <si>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</si>
  <si>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</si>
  <si>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</si>
  <si>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</si>
  <si>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</si>
  <si>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</si>
  <si>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</si>
  <si>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</si>
  <si>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</si>
  <si>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</si>
  <si>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</si>
  <si>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</si>
  <si>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</si>
  <si>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</si>
  <si>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</si>
  <si>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</si>
  <si>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</si>
  <si>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</si>
  <si>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</si>
  <si>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</si>
  <si>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</si>
  <si>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</si>
  <si>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</si>
  <si>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</si>
  <si>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</si>
  <si>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</si>
  <si>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</si>
  <si>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</si>
  <si>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</si>
  <si>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</si>
  <si>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</si>
  <si>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</si>
  <si>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</si>
  <si>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</si>
  <si>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</si>
  <si>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</si>
  <si>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</si>
  <si>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</si>
  <si>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</si>
  <si>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</si>
  <si>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</si>
  <si>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</si>
  <si>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</si>
  <si>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</si>
  <si>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</si>
  <si>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</si>
  <si>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</si>
  <si>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</si>
  <si>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</si>
  <si>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</si>
  <si>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</si>
  <si>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</si>
  <si>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</si>
  <si>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</si>
  <si>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</si>
  <si>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</si>
  <si>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</si>
  <si>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</si>
  <si>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</si>
  <si>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</si>
  <si>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</si>
  <si>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</si>
  <si>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</si>
  <si>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</si>
  <si>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</si>
  <si>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</si>
  <si>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</si>
  <si>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</si>
  <si>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</si>
  <si>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</si>
  <si>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</si>
  <si>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</si>
  <si>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</si>
  <si>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</si>
  <si>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</si>
  <si>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</si>
  <si>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</si>
  <si>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</si>
  <si>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</si>
  <si>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</si>
  <si>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</si>
  <si>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</si>
  <si>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</si>
  <si>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</si>
  <si>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</si>
  <si>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</si>
  <si>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</si>
  <si>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</si>
  <si>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</si>
  <si>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</si>
  <si>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</si>
  <si>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</si>
  <si>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</si>
  <si>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</si>
  <si>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</si>
  <si>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</si>
  <si>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</si>
  <si>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</si>
  <si>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</si>
  <si>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</si>
  <si>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</si>
  <si>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</si>
  <si>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</si>
  <si>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</si>
  <si>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</si>
  <si>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</si>
  <si>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</si>
  <si>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</si>
  <si>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</si>
  <si>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</si>
  <si>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</si>
  <si>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</si>
  <si>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</si>
  <si>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</si>
  <si>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</si>
  <si>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</si>
  <si>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</si>
  <si>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</si>
  <si>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</si>
  <si>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</si>
  <si>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</si>
  <si>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</si>
  <si>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</si>
  <si>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</si>
  <si>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</si>
  <si>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</si>
  <si>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</si>
  <si>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</si>
  <si>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</si>
  <si>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</si>
  <si>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</si>
  <si>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</si>
  <si>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</si>
  <si>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</si>
  <si>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</si>
  <si>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</si>
  <si>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</si>
  <si>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</si>
  <si>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</si>
  <si>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</si>
  <si>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</si>
  <si>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</si>
  <si>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</si>
  <si>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</si>
  <si>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</si>
  <si>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</si>
  <si>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</si>
  <si>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</si>
  <si>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</si>
  <si>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</si>
  <si>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</si>
  <si>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</si>
  <si>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</si>
  <si>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</si>
  <si>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</si>
  <si>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</si>
  <si>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</si>
  <si>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</si>
  <si>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</si>
  <si>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</si>
  <si>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</si>
  <si>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</si>
  <si>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</si>
  <si>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</si>
  <si>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</si>
  <si>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</si>
  <si>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</si>
  <si>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</si>
  <si>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</si>
  <si>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</si>
  <si>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</si>
  <si>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</si>
  <si>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</si>
  <si>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</si>
  <si>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</si>
  <si>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</si>
  <si>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</si>
  <si>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</si>
  <si>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</si>
  <si>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</si>
  <si>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</si>
  <si>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</si>
  <si>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</si>
  <si>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</si>
  <si>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</si>
  <si>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</si>
  <si>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</si>
  <si>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</si>
  <si>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</si>
  <si>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</si>
  <si>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</si>
  <si>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</si>
  <si>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</si>
  <si>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</si>
  <si>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</si>
  <si>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</si>
  <si>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</si>
  <si>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</si>
  <si>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</si>
  <si>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</si>
  <si>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</si>
  <si>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</si>
  <si>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</si>
  <si>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</si>
  <si>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</si>
  <si>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</si>
  <si>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</si>
  <si>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</si>
  <si>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</si>
  <si>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</si>
  <si>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</si>
  <si>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</si>
  <si>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</si>
  <si>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</si>
  <si>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</si>
  <si>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</si>
  <si>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</si>
  <si>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</si>
  <si>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</si>
  <si>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</si>
  <si>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</si>
  <si>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</si>
  <si>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</si>
  <si>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</si>
  <si>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</si>
  <si>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</si>
  <si>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</si>
  <si>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</si>
  <si>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</si>
  <si>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</si>
  <si>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</si>
  <si>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</si>
  <si>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</si>
  <si>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</si>
  <si>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</si>
  <si>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</si>
  <si>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</si>
  <si>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</si>
  <si>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</si>
  <si>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</si>
  <si>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</si>
  <si>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</si>
  <si>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</si>
  <si>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</si>
  <si>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</si>
  <si>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</si>
  <si>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</si>
  <si>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</si>
  <si>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</si>
  <si>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</si>
  <si>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</si>
  <si>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</si>
  <si>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</si>
  <si>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</si>
  <si>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</si>
  <si>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</si>
  <si>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</si>
  <si>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</si>
  <si>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</si>
  <si>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</si>
  <si>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</si>
  <si>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</si>
  <si>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</si>
  <si>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</si>
  <si>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</si>
  <si>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</si>
  <si>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</si>
  <si>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</si>
  <si>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</si>
  <si>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</si>
  <si>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</si>
  <si>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</si>
  <si>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</si>
  <si>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</si>
  <si>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</si>
  <si>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</si>
  <si>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</si>
  <si>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</si>
  <si>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</si>
  <si>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</si>
  <si>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</si>
  <si>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</si>
  <si>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</si>
  <si>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</si>
  <si>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</si>
  <si>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</si>
  <si>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</si>
  <si>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</si>
  <si>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</si>
  <si>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</si>
  <si>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</si>
  <si>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</si>
  <si>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</si>
  <si>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</si>
  <si>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</si>
  <si>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</si>
  <si>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</si>
  <si>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</si>
  <si>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</si>
  <si>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</si>
  <si>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</si>
  <si>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</si>
  <si>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</si>
  <si>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</si>
  <si>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</si>
  <si>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</si>
  <si>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</si>
  <si>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</si>
  <si>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</si>
  <si>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</si>
  <si>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</si>
  <si>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</si>
  <si>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</si>
  <si>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</si>
  <si>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</si>
  <si>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</si>
  <si>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</si>
  <si>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</si>
  <si>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</si>
  <si>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</si>
  <si>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</si>
  <si>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</si>
  <si>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</si>
  <si>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</si>
  <si>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</si>
  <si>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</si>
  <si>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</si>
  <si>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</si>
  <si>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</si>
  <si>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</si>
  <si>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</si>
  <si>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</si>
  <si>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</si>
  <si>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</si>
  <si>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</si>
  <si>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</si>
  <si>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</si>
  <si>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</si>
  <si>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</si>
  <si>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</si>
  <si>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</si>
  <si>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</si>
  <si>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</si>
  <si>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</si>
  <si>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</si>
  <si>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</si>
  <si>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</si>
  <si>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</si>
  <si>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</si>
  <si>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</si>
  <si>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</si>
  <si>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</si>
  <si>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</si>
  <si>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</si>
  <si>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</si>
  <si>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</si>
  <si>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</si>
  <si>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</si>
  <si>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</si>
  <si>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</si>
  <si>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</si>
  <si>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</si>
  <si>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</si>
  <si>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</si>
  <si>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</si>
  <si>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</si>
  <si>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</si>
  <si>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</si>
  <si>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</si>
  <si>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</si>
  <si>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</si>
  <si>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</si>
  <si>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</si>
  <si>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</si>
  <si>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</si>
  <si>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</si>
  <si>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</si>
  <si>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</si>
  <si>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</si>
  <si>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</si>
  <si>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</si>
  <si>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</si>
  <si>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</si>
  <si>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</si>
  <si>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</si>
  <si>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</si>
  <si>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</si>
  <si>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</si>
  <si>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</si>
  <si>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</si>
  <si>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</si>
  <si>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</si>
  <si>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</si>
  <si>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</si>
  <si>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</si>
  <si>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</si>
  <si>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</si>
  <si>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</si>
  <si>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</si>
  <si>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</si>
  <si>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</si>
  <si>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</si>
  <si>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</si>
  <si>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</si>
  <si>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</si>
  <si>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</si>
  <si>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</si>
  <si>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</si>
  <si>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</si>
  <si>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</si>
  <si>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</si>
  <si>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</si>
  <si>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</si>
  <si>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</si>
  <si>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</si>
  <si>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</si>
  <si>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</si>
  <si>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</si>
  <si>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</si>
  <si>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</si>
  <si>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</si>
  <si>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</si>
  <si>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</si>
  <si>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</si>
  <si>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</si>
  <si>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</si>
  <si>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</si>
  <si>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</si>
  <si>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</si>
  <si>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</si>
  <si>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</si>
  <si>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</si>
  <si>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</si>
  <si>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</si>
  <si>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</si>
  <si>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</si>
  <si>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</si>
  <si>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</si>
  <si>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</si>
  <si>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</si>
  <si>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</si>
  <si>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</si>
  <si>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</si>
  <si>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</si>
  <si>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</si>
  <si>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</si>
  <si>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</si>
  <si>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</si>
  <si>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</si>
  <si>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</si>
  <si>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</si>
  <si>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</si>
  <si>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</si>
  <si>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</si>
  <si>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</si>
  <si>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</si>
  <si>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</si>
  <si>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</si>
  <si>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</si>
  <si>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</si>
  <si>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</si>
  <si>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</si>
  <si>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</si>
  <si>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</si>
  <si>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</si>
  <si>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</si>
  <si>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</si>
  <si>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</si>
  <si>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</si>
  <si>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</si>
  <si>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</si>
  <si>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</si>
  <si>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</si>
  <si>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</si>
  <si>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</si>
  <si>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</si>
  <si>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</si>
  <si>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</si>
  <si>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</si>
  <si>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</si>
  <si>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</si>
  <si>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</si>
  <si>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</si>
  <si>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</si>
  <si>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</si>
  <si>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</si>
  <si>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</si>
  <si>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</si>
  <si>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</si>
  <si>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</si>
  <si>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</si>
  <si>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</si>
  <si>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</si>
  <si>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</si>
  <si>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</si>
  <si>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</si>
  <si>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</si>
  <si>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</si>
  <si>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</si>
  <si>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</si>
  <si>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</si>
  <si>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</si>
  <si>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</si>
  <si>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</si>
  <si>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</si>
  <si>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</si>
  <si>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</si>
  <si>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</si>
  <si>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</si>
  <si>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</si>
  <si>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</si>
  <si>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</si>
  <si>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</si>
  <si>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</si>
  <si>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</si>
  <si>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</si>
  <si>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</si>
  <si>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</si>
  <si>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</si>
  <si>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</si>
  <si>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</si>
  <si>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</si>
  <si>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</si>
  <si>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</si>
  <si>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</si>
  <si>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</si>
  <si>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</si>
  <si>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</si>
  <si>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</si>
  <si>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</si>
  <si>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</si>
  <si>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</si>
  <si>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</si>
  <si>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</si>
  <si>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</si>
  <si>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</si>
  <si>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</si>
  <si>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</si>
  <si>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</si>
  <si>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</si>
  <si>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</si>
  <si>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</si>
  <si>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</si>
  <si>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</si>
  <si>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</si>
  <si>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</si>
  <si>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</si>
  <si>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</si>
  <si>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</si>
  <si>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</si>
  <si>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</si>
  <si>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</si>
  <si>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</si>
  <si>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</si>
  <si>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</si>
  <si>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</si>
  <si>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</si>
  <si>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</si>
  <si>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</si>
  <si>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</si>
  <si>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</si>
  <si>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</si>
  <si>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</si>
  <si>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</si>
  <si>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</si>
  <si>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</si>
  <si>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</si>
  <si>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</si>
  <si>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</si>
  <si>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</si>
  <si>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</si>
  <si>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</si>
  <si>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</si>
  <si>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</si>
  <si>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</si>
  <si>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</si>
  <si>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</si>
  <si>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</si>
  <si>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</si>
  <si>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</si>
  <si>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</si>
  <si>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</si>
  <si>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</si>
  <si>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</si>
  <si>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</si>
  <si>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</si>
  <si>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</si>
  <si>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</si>
  <si>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</si>
  <si>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</si>
  <si>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</si>
  <si>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</si>
  <si>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</si>
  <si>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</si>
  <si>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</si>
  <si>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</si>
  <si>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</si>
  <si>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</si>
  <si>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</si>
  <si>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</si>
  <si>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</si>
  <si>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</si>
  <si>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</si>
  <si>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</si>
  <si>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</si>
  <si>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</si>
  <si>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</si>
  <si>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</si>
  <si>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</si>
  <si>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</si>
  <si>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</si>
  <si>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</si>
  <si>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</si>
  <si>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</si>
  <si>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</si>
  <si>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</si>
  <si>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</si>
  <si>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</si>
  <si>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</si>
  <si>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</si>
  <si>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</si>
  <si>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</si>
  <si>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</si>
  <si>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</si>
  <si>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</si>
  <si>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</si>
  <si>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</si>
  <si>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</si>
  <si>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</si>
  <si>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</si>
  <si>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</si>
  <si>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</si>
  <si>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</si>
  <si>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</si>
  <si>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</si>
  <si>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</si>
  <si>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</si>
  <si>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</si>
  <si>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</si>
  <si>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</si>
  <si>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</si>
  <si>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</si>
  <si>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</si>
  <si>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</si>
  <si>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</si>
  <si>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</si>
  <si>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</si>
  <si>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</si>
  <si>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</si>
  <si>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</si>
  <si>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</si>
  <si>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</si>
  <si>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</si>
  <si>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</si>
  <si>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</si>
  <si>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</si>
  <si>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</si>
  <si>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</si>
  <si>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</si>
  <si>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</si>
  <si>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</si>
  <si>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</si>
  <si>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</si>
  <si>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</si>
  <si>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</si>
  <si>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</si>
  <si>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</si>
  <si>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</si>
  <si>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</si>
  <si>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</si>
  <si>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</si>
  <si>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</si>
  <si>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</si>
  <si>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</si>
  <si>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</si>
  <si>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</si>
  <si>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</si>
  <si>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</si>
  <si>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</si>
  <si>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</si>
  <si>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</si>
  <si>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</si>
  <si>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</si>
  <si>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</si>
  <si>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</si>
  <si>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</si>
  <si>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</si>
  <si>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</si>
  <si>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</si>
  <si>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</si>
  <si>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</si>
  <si>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</si>
  <si>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</si>
  <si>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</si>
  <si>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</si>
  <si>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</si>
  <si>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</si>
  <si>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</si>
  <si>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</si>
  <si>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</si>
  <si>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</si>
  <si>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</si>
  <si>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</si>
  <si>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</si>
  <si>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</si>
  <si>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</si>
  <si>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</si>
  <si>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</si>
  <si>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</si>
  <si>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</si>
  <si>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</si>
  <si>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</si>
  <si>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</si>
  <si>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</si>
  <si>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</si>
  <si>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</si>
  <si>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</si>
  <si>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</si>
  <si>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</si>
  <si>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</si>
  <si>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</si>
  <si>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</si>
  <si>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</si>
  <si>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</si>
  <si>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</si>
  <si>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</si>
  <si>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</si>
  <si>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</si>
  <si>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</si>
  <si>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</si>
  <si>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</si>
  <si>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</si>
  <si>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</si>
  <si>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</si>
  <si>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</si>
  <si>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</si>
  <si>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</si>
  <si>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</si>
  <si>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</si>
  <si>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</si>
  <si>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</si>
  <si>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</si>
  <si>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</si>
  <si>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</si>
  <si>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</si>
  <si>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</si>
  <si>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</si>
  <si>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</si>
  <si>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</si>
  <si>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</si>
  <si>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</si>
  <si>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</si>
  <si>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</si>
  <si>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</si>
  <si>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</si>
  <si>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</si>
  <si>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</si>
  <si>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</si>
  <si>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</si>
  <si>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</si>
  <si>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</si>
  <si>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</si>
  <si>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</si>
  <si>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</si>
  <si>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</si>
  <si>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</si>
  <si>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</si>
  <si>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</si>
  <si>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</si>
  <si>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</si>
  <si>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</si>
  <si>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</si>
  <si>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</si>
  <si>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</si>
  <si>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</si>
  <si>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</si>
  <si>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</si>
  <si>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</si>
  <si>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</si>
  <si>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</si>
  <si>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</si>
  <si>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</si>
  <si>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</si>
  <si>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</si>
  <si>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</si>
  <si>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</si>
  <si>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</si>
  <si>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</si>
  <si>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</si>
  <si>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</si>
  <si>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</si>
  <si>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</si>
  <si>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</si>
  <si>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</si>
  <si>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</si>
  <si>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</si>
  <si>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</si>
  <si>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</si>
  <si>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</si>
  <si>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</si>
  <si>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</si>
  <si>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</si>
  <si>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</si>
  <si>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</si>
  <si>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</si>
  <si>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</si>
  <si>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</si>
  <si>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</si>
  <si>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</si>
  <si>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</si>
  <si>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</si>
  <si>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</si>
  <si>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</si>
  <si>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</si>
  <si>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</si>
  <si>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</si>
  <si>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</si>
  <si>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</si>
  <si>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</si>
  <si>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</si>
  <si>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</si>
  <si>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</si>
  <si>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</si>
  <si>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</si>
  <si>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</si>
  <si>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</si>
  <si>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</si>
  <si>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</si>
  <si>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</si>
  <si>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</si>
  <si>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</si>
  <si>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</si>
  <si>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</si>
  <si>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</si>
  <si>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</si>
  <si>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</si>
  <si>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</si>
  <si>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</si>
  <si>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</si>
  <si>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</si>
  <si>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</si>
  <si>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</si>
  <si>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</si>
  <si>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</si>
  <si>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</si>
  <si>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</si>
  <si>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</si>
  <si>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</si>
  <si>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</si>
  <si>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</si>
  <si>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</si>
  <si>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</si>
  <si>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</si>
  <si>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</si>
  <si>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</si>
  <si>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</si>
  <si>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</si>
  <si>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</si>
  <si>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</si>
  <si>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</si>
  <si>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</si>
  <si>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</si>
  <si>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</si>
  <si>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</si>
  <si>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</si>
  <si>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</si>
  <si>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</si>
  <si>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</si>
  <si>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</si>
  <si>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</si>
  <si>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</si>
  <si>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</si>
  <si>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</si>
  <si>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</si>
  <si>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</si>
  <si>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</si>
  <si>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</si>
  <si>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</si>
  <si>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</si>
  <si>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</si>
  <si>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</si>
  <si>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</si>
  <si>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</si>
  <si>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</si>
  <si>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</si>
  <si>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</si>
  <si>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</si>
  <si>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</si>
  <si>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</si>
  <si>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</si>
  <si>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</si>
  <si>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</si>
  <si>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</si>
  <si>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</si>
  <si>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</si>
  <si>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</si>
  <si>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</si>
  <si>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</si>
  <si>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</si>
  <si>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</si>
  <si>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</si>
  <si>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</si>
  <si>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</si>
  <si>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</si>
  <si>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</si>
  <si>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</si>
  <si>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</si>
  <si>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</si>
  <si>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</si>
  <si>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</si>
  <si>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</si>
  <si>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</si>
  <si>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</si>
  <si>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</si>
  <si>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</si>
  <si>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</si>
  <si>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</si>
  <si>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</si>
  <si>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</si>
  <si>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</si>
  <si>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</si>
  <si>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</si>
  <si>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</si>
  <si>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</si>
  <si>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</si>
  <si>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</si>
  <si>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</si>
  <si>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</si>
  <si>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</si>
  <si>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</si>
  <si>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</si>
  <si>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</si>
  <si>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</si>
  <si>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</si>
  <si>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</si>
  <si>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</si>
  <si>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</si>
  <si>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</si>
  <si>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</si>
  <si>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</si>
  <si>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</si>
  <si>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</si>
  <si>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</si>
  <si>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</si>
  <si>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</si>
  <si>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</si>
  <si>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</si>
  <si>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</si>
  <si>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</si>
  <si>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</si>
  <si>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</si>
  <si>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</si>
  <si>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</si>
  <si>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</si>
  <si>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</si>
  <si>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</si>
  <si>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</si>
  <si>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</si>
  <si>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</si>
  <si>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</si>
  <si>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</si>
  <si>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</si>
  <si>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</si>
  <si>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</si>
  <si>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</si>
  <si>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</si>
  <si>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</si>
  <si>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</si>
  <si>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</si>
  <si>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</si>
  <si>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</si>
  <si>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</si>
  <si>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</si>
  <si>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</si>
  <si>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</si>
  <si>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</si>
  <si>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</si>
  <si>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</si>
  <si>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</si>
  <si>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</si>
  <si>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</si>
  <si>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</si>
  <si>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</si>
  <si>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</si>
  <si>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</si>
  <si>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</si>
  <si>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</si>
  <si>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</si>
  <si>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</si>
  <si>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</si>
  <si>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</si>
  <si>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</si>
  <si>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</si>
  <si>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</si>
  <si>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</si>
  <si>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</si>
  <si>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</si>
  <si>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</si>
  <si>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</si>
  <si>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</si>
  <si>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</si>
  <si>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</si>
  <si>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</si>
  <si>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</si>
  <si>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</si>
  <si>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</si>
  <si>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</si>
  <si>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</si>
  <si>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</si>
  <si>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</si>
  <si>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</si>
  <si>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</si>
  <si>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</si>
  <si>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</si>
  <si>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</si>
  <si>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</si>
  <si>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</si>
  <si>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</si>
  <si>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</si>
  <si>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</si>
  <si>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</si>
  <si>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</si>
  <si>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</si>
  <si>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</si>
  <si>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</si>
  <si>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</si>
  <si>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</si>
  <si>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</si>
  <si>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</si>
  <si>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</si>
  <si>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</si>
  <si>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</si>
  <si>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</si>
  <si>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</si>
  <si>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</si>
  <si>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</si>
  <si>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</si>
  <si>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</si>
  <si>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</si>
  <si>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</si>
  <si>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</si>
  <si>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</si>
  <si>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</si>
  <si>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</si>
  <si>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</si>
  <si>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</si>
  <si>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</si>
  <si>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</si>
  <si>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</si>
  <si>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</si>
  <si>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</si>
  <si>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</si>
  <si>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</si>
  <si>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</si>
  <si>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</si>
  <si>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</si>
  <si>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</si>
  <si>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</si>
  <si>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</si>
  <si>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</si>
  <si>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</si>
  <si>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</si>
  <si>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</si>
  <si>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</si>
  <si>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</si>
  <si>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</si>
  <si>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</si>
  <si>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</si>
  <si>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</si>
  <si>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</si>
  <si>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</si>
  <si>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</si>
  <si>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</si>
  <si>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</si>
  <si>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</si>
  <si>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</si>
  <si>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</si>
  <si>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</si>
  <si>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</si>
  <si>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</si>
  <si>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</si>
  <si>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</si>
  <si>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</si>
  <si>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</si>
  <si>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</si>
  <si>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</si>
  <si>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</si>
  <si>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</si>
  <si>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</si>
  <si>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</si>
  <si>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</si>
  <si>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</si>
  <si>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</si>
  <si>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</si>
  <si>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</si>
  <si>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</si>
  <si>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</si>
  <si>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</si>
  <si>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</si>
  <si>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</si>
  <si>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</si>
  <si>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</si>
  <si>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</si>
  <si>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</si>
  <si>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</si>
  <si>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</si>
  <si>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</si>
  <si>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</si>
  <si>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</si>
  <si>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</si>
  <si>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</si>
  <si>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</si>
  <si>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</si>
  <si>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</si>
  <si>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</si>
  <si>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</si>
  <si>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</si>
  <si>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</si>
  <si>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</si>
  <si>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</si>
  <si>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</si>
  <si>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</si>
  <si>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</si>
  <si>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</si>
  <si>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</si>
  <si>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</si>
  <si>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</si>
  <si>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</si>
  <si>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</si>
  <si>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</si>
  <si>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</si>
  <si>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</si>
  <si>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</si>
  <si>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</si>
  <si>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</si>
  <si>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</si>
  <si>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</si>
  <si>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</si>
  <si>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</si>
  <si>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</si>
  <si>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</si>
  <si>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</si>
  <si>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</si>
  <si>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</si>
  <si>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</si>
  <si>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</si>
  <si>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</si>
  <si>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</si>
  <si>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</si>
  <si>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</si>
  <si>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</si>
  <si>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</si>
  <si>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</si>
  <si>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</si>
  <si>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</si>
  <si>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</si>
  <si>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</si>
  <si>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</si>
  <si>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</si>
  <si>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</si>
  <si>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</si>
  <si>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</si>
  <si>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</si>
  <si>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</si>
  <si>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</si>
  <si>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</si>
  <si>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</si>
  <si>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</si>
  <si>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</si>
  <si>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</si>
  <si>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</si>
  <si>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</si>
  <si>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</si>
  <si>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</si>
  <si>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</si>
  <si>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</si>
  <si>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</si>
  <si>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</si>
  <si>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</si>
  <si>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</si>
  <si>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</si>
  <si>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</si>
  <si>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</si>
  <si>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</si>
  <si>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</si>
  <si>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</si>
  <si>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</si>
  <si>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</si>
  <si>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</si>
  <si>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</si>
  <si>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</si>
  <si>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</si>
  <si>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</si>
  <si>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</si>
  <si>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</si>
  <si>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</si>
  <si>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</si>
  <si>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</si>
  <si>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</si>
  <si>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</si>
  <si>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</si>
  <si>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</si>
  <si>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</si>
  <si>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</si>
  <si>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</si>
  <si>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</si>
  <si>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</si>
  <si>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</si>
  <si>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</si>
  <si>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</si>
  <si>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</si>
  <si>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</si>
  <si>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</si>
  <si>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</si>
  <si>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</si>
  <si>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</si>
  <si>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</si>
  <si>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</si>
  <si>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</si>
  <si>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</si>
  <si>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</si>
  <si>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</si>
  <si>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</si>
  <si>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</si>
  <si>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</si>
  <si>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</si>
  <si>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</si>
  <si>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</si>
  <si>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</si>
  <si>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</si>
  <si>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</si>
  <si>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</si>
  <si>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</si>
  <si>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</si>
  <si>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</si>
  <si>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</si>
  <si>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</si>
  <si>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</si>
  <si>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</si>
  <si>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</si>
  <si>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</si>
  <si>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</si>
  <si>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</si>
  <si>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</si>
  <si>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</si>
  <si>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</si>
  <si>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</si>
  <si>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</si>
  <si>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</si>
  <si>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</si>
  <si>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</si>
  <si>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</si>
  <si>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</si>
  <si>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</si>
  <si>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</si>
  <si>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</si>
  <si>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</si>
  <si>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</si>
  <si>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</si>
  <si>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</si>
  <si>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</si>
  <si>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</si>
  <si>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</si>
  <si>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</si>
  <si>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</si>
  <si>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</si>
  <si>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</si>
  <si>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</si>
  <si>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</si>
  <si>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</si>
  <si>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</si>
  <si>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</si>
  <si>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</si>
  <si>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</si>
  <si>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</si>
  <si>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</si>
  <si>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</si>
  <si>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</si>
  <si>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</si>
  <si>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</si>
  <si>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</si>
  <si>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</si>
  <si>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</si>
  <si>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</si>
  <si>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</si>
  <si>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</si>
  <si>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</si>
  <si>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</si>
  <si>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</si>
  <si>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</si>
  <si>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</si>
  <si>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</si>
  <si>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</si>
  <si>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</si>
  <si>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</si>
  <si>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</si>
  <si>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</si>
  <si>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</si>
  <si>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</si>
  <si>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</si>
  <si>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</si>
  <si>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</si>
  <si>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</si>
  <si>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</si>
  <si>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</si>
  <si>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</si>
  <si>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</si>
  <si>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</si>
  <si>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</si>
  <si>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</si>
  <si>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</si>
  <si>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</si>
  <si>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</si>
  <si>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</si>
  <si>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</si>
  <si>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</si>
  <si>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</si>
  <si>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</si>
  <si>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</si>
  <si>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</si>
  <si>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</si>
  <si>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</si>
  <si>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</si>
  <si>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</si>
  <si>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</si>
  <si>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</si>
  <si>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</si>
  <si>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</si>
  <si>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</si>
  <si>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</si>
  <si>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</si>
  <si>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</si>
  <si>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</si>
  <si>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</si>
  <si>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</si>
  <si>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</si>
  <si>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</si>
  <si>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</si>
  <si>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</si>
  <si>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</si>
  <si>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</si>
  <si>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</si>
  <si>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</si>
  <si>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</si>
  <si>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</si>
  <si>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</si>
  <si>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</si>
  <si>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</si>
  <si>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</si>
  <si>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</si>
  <si>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</si>
  <si>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</si>
  <si>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</si>
  <si>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</si>
  <si>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</si>
  <si>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</si>
  <si>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</si>
  <si>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</si>
  <si>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</si>
  <si>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</si>
  <si>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</si>
  <si>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</si>
  <si>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</si>
  <si>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</si>
  <si>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</si>
  <si>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</si>
  <si>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</si>
  <si>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</si>
  <si>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</si>
  <si>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</si>
  <si>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</si>
  <si>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</si>
  <si>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</si>
  <si>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</si>
  <si>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</si>
  <si>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</si>
  <si>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</si>
  <si>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</si>
  <si>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</si>
  <si>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</si>
  <si>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</si>
  <si>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</si>
  <si>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</si>
  <si>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</si>
  <si>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</si>
  <si>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</si>
  <si>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</si>
  <si>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</si>
  <si>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</si>
  <si>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</si>
  <si>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</si>
  <si>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</si>
  <si>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</si>
  <si>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</si>
  <si>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</si>
  <si>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</si>
  <si>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</si>
  <si>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</si>
  <si>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</si>
  <si>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</si>
  <si>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</si>
  <si>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</si>
  <si>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</si>
  <si>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</si>
  <si>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</si>
  <si>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</si>
  <si>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</si>
  <si>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</si>
  <si>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</si>
  <si>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</si>
  <si>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</si>
  <si>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</si>
  <si>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</si>
  <si>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</si>
  <si>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</si>
  <si>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</si>
  <si>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</si>
  <si>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</si>
  <si>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</si>
  <si>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</si>
  <si>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</si>
  <si>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</si>
  <si>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</si>
  <si>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</si>
  <si>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</si>
  <si>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</si>
  <si>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</si>
  <si>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</si>
  <si>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</si>
  <si>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</si>
  <si>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</si>
  <si>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</si>
  <si>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</si>
  <si>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</si>
  <si>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</si>
  <si>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</si>
  <si>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</si>
  <si>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</si>
  <si>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</si>
  <si>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</si>
  <si>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</si>
  <si>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</si>
  <si>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</si>
  <si>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</si>
  <si>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</si>
  <si>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</si>
  <si>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</si>
  <si>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</si>
  <si>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</si>
  <si>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</si>
  <si>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</si>
  <si>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</si>
  <si>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</si>
  <si>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</si>
  <si>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</si>
  <si>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</si>
  <si>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</si>
  <si>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</si>
  <si>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</si>
  <si>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</si>
  <si>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</si>
  <si>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</si>
  <si>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</si>
  <si>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</si>
  <si>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</si>
  <si>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</si>
  <si>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</si>
  <si>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</si>
  <si>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</si>
  <si>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</si>
  <si>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</si>
  <si>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</si>
  <si>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</si>
  <si>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</si>
  <si>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</si>
  <si>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</si>
  <si>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</si>
  <si>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</si>
  <si>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</si>
  <si>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</si>
  <si>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</si>
  <si>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</si>
  <si>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</si>
  <si>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</si>
  <si>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</si>
  <si>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</si>
  <si>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</si>
  <si>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</si>
  <si>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</si>
  <si>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</si>
  <si>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</si>
  <si>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</si>
  <si>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</si>
  <si>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</si>
  <si>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</si>
  <si>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</si>
  <si>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</si>
  <si>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</si>
  <si>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</si>
  <si>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</si>
  <si>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</si>
  <si>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</si>
  <si>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</si>
  <si>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</si>
  <si>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</si>
  <si>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</si>
  <si>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</si>
  <si>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</si>
  <si>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</si>
  <si>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</si>
  <si>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</si>
  <si>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</si>
  <si>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</si>
  <si>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</si>
  <si>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</si>
  <si>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</si>
  <si>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</si>
  <si>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</si>
  <si>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</si>
  <si>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</si>
  <si>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</si>
  <si>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</si>
  <si>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</si>
  <si>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</si>
  <si>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</si>
  <si>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</si>
  <si>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</si>
  <si>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</si>
  <si>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</si>
  <si>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</si>
  <si>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</si>
  <si>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</si>
  <si>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</si>
  <si>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</si>
  <si>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</si>
  <si>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</si>
  <si>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</si>
  <si>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</si>
  <si>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</si>
  <si>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</si>
  <si>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</si>
  <si>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</si>
  <si>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</si>
  <si>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</si>
  <si>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</si>
  <si>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</si>
  <si>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</si>
  <si>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</si>
  <si>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</si>
  <si>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</si>
  <si>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</si>
  <si>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</si>
  <si>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</si>
  <si>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</si>
  <si>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</si>
  <si>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</si>
  <si>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</si>
  <si>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</si>
  <si>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</si>
  <si>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</si>
  <si>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</si>
  <si>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</si>
  <si>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</si>
  <si>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</si>
  <si>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</si>
  <si>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</si>
  <si>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</si>
  <si>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</si>
  <si>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</si>
  <si>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</si>
  <si>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</si>
  <si>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</si>
  <si>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</si>
  <si>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</si>
  <si>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</si>
  <si>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</si>
  <si>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</si>
  <si>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</si>
  <si>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</si>
  <si>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</si>
  <si>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</si>
  <si>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</si>
  <si>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</si>
  <si>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</si>
  <si>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</si>
  <si>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</si>
  <si>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</si>
  <si>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</si>
  <si>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</si>
  <si>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</si>
  <si>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</si>
  <si>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</si>
  <si>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</si>
  <si>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</si>
  <si>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</si>
  <si>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</si>
  <si>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</si>
  <si>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</si>
  <si>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</si>
  <si>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</si>
  <si>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</si>
  <si>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</si>
  <si>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</si>
  <si>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</si>
  <si>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</si>
  <si>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</si>
  <si>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</si>
  <si>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</si>
  <si>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</si>
  <si>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</si>
  <si>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</si>
  <si>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</si>
  <si>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</si>
  <si>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</si>
  <si>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</si>
  <si>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</si>
  <si>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</si>
  <si>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</si>
  <si>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</si>
  <si>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</si>
  <si>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</si>
  <si>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</si>
  <si>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</si>
  <si>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</si>
  <si>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</si>
  <si>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</si>
  <si>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</si>
  <si>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</si>
  <si>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</si>
  <si>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</si>
  <si>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</si>
  <si>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</si>
  <si>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</si>
  <si>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</si>
  <si>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</si>
  <si>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</si>
  <si>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</si>
  <si>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</si>
  <si>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</si>
  <si>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</si>
  <si>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</si>
  <si>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</si>
  <si>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</si>
  <si>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</si>
  <si>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</si>
  <si>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</si>
  <si>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</si>
  <si>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</si>
  <si>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</si>
  <si>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</si>
  <si>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</si>
  <si>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</si>
  <si>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</si>
  <si>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</si>
  <si>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</si>
  <si>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</si>
  <si>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</si>
  <si>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</si>
  <si>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</si>
  <si>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</si>
  <si>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</si>
  <si>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</si>
  <si>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</si>
  <si>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</si>
  <si>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</si>
  <si>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</si>
  <si>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</si>
  <si>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</si>
  <si>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</si>
  <si>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</si>
  <si>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</si>
  <si>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</si>
  <si>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</si>
  <si>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</si>
  <si>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</si>
  <si>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</si>
  <si>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</si>
  <si>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</si>
  <si>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</si>
  <si>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</si>
  <si>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</si>
  <si>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</si>
  <si>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</si>
  <si>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</si>
  <si>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</si>
  <si>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</si>
  <si>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</si>
  <si>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</si>
  <si>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</si>
  <si>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</si>
  <si>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</si>
  <si>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</si>
  <si>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</si>
  <si>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</si>
  <si>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</si>
  <si>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</si>
  <si>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</si>
  <si>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</si>
  <si>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</si>
  <si>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</si>
  <si>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</si>
  <si>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</si>
  <si>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</si>
  <si>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</si>
  <si>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</si>
  <si>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</si>
  <si>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</si>
  <si>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</si>
  <si>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</si>
  <si>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</si>
  <si>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</si>
  <si>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</si>
  <si>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</si>
  <si>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</si>
  <si>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</si>
  <si>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</si>
  <si>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</si>
  <si>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</si>
  <si>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</si>
  <si>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</si>
  <si>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</si>
  <si>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</si>
  <si>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</si>
  <si>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</si>
  <si>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</si>
  <si>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</si>
  <si>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</si>
  <si>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</si>
  <si>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</si>
  <si>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</si>
  <si>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</si>
  <si>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</si>
  <si>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</si>
  <si>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</si>
  <si>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</si>
  <si>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</si>
  <si>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</si>
  <si>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</si>
  <si>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</si>
  <si>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</si>
  <si>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</si>
  <si>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</si>
  <si>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</si>
  <si>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</si>
  <si>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</si>
  <si>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</si>
  <si>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</si>
  <si>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</si>
  <si>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</si>
  <si>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</si>
  <si>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</si>
  <si>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</si>
  <si>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</si>
  <si>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</si>
  <si>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</si>
  <si>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</si>
  <si>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</si>
  <si>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</si>
  <si>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</si>
  <si>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</si>
  <si>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</si>
  <si>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</si>
  <si>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</si>
  <si>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</si>
  <si>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</si>
  <si>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</si>
  <si>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</si>
  <si>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</si>
  <si>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</si>
  <si>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</si>
  <si>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</si>
  <si>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</si>
  <si>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</si>
  <si>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</si>
  <si>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</si>
  <si>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</si>
  <si>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</si>
  <si>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</si>
  <si>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</si>
  <si>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</si>
  <si>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</si>
  <si>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</si>
  <si>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</si>
  <si>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</si>
  <si>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</si>
  <si>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</si>
  <si>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</si>
  <si>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</si>
  <si>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</si>
  <si>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</si>
  <si>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</si>
  <si>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</si>
  <si>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</si>
  <si>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</si>
  <si>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</si>
  <si>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</si>
  <si>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</si>
  <si>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</si>
  <si>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</si>
  <si>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</si>
  <si>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</si>
  <si>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</si>
  <si>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</si>
  <si>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</si>
  <si>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</si>
  <si>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</si>
  <si>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</si>
  <si>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</si>
  <si>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</si>
  <si>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</si>
  <si>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</si>
  <si>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</si>
  <si>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</si>
  <si>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</si>
  <si>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</si>
  <si>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</si>
  <si>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</si>
  <si>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</si>
  <si>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</si>
  <si>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</si>
  <si>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</si>
  <si>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</si>
  <si>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</si>
  <si>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</si>
  <si>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</si>
  <si>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</si>
  <si>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</si>
  <si>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</si>
  <si>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</si>
  <si>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</si>
  <si>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</si>
  <si>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</si>
  <si>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</si>
  <si>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</si>
  <si>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</si>
  <si>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</si>
  <si>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</si>
  <si>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</si>
  <si>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</si>
  <si>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</si>
  <si>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</si>
  <si>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</si>
  <si>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</si>
  <si>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</si>
  <si>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</si>
  <si>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</si>
  <si>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</si>
  <si>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</si>
  <si>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</si>
  <si>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</si>
  <si>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</si>
  <si>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</si>
  <si>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</si>
  <si>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</si>
  <si>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</si>
  <si>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</si>
  <si>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</si>
  <si>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</si>
  <si>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</si>
  <si>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</si>
  <si>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</si>
  <si>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</si>
  <si>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</si>
  <si>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</si>
  <si>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</si>
  <si>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</si>
  <si>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</si>
  <si>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</si>
  <si>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</si>
  <si>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</si>
  <si>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</si>
  <si>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</si>
  <si>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</si>
  <si>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</si>
  <si>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</si>
  <si>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</si>
  <si>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</si>
  <si>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</si>
  <si>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</si>
  <si>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</si>
  <si>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</si>
  <si>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</si>
  <si>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</si>
  <si>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</si>
  <si>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</si>
  <si>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</si>
  <si>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</si>
  <si>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</si>
  <si>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</si>
  <si>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</si>
  <si>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</si>
  <si>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</si>
  <si>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</si>
  <si>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</si>
  <si>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</si>
  <si>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</si>
  <si>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</si>
  <si>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</si>
  <si>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</si>
  <si>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</si>
  <si>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</si>
  <si>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</si>
  <si>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</si>
  <si>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</si>
  <si>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</si>
  <si>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</si>
  <si>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</si>
  <si>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</si>
  <si>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</si>
  <si>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</si>
  <si>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</si>
  <si>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</si>
  <si>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</si>
  <si>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</si>
  <si>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</si>
  <si>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</si>
  <si>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</si>
  <si>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</si>
  <si>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</si>
  <si>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</si>
  <si>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</si>
  <si>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</si>
  <si>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</si>
  <si>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</si>
  <si>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</si>
  <si>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</si>
  <si>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</si>
  <si>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</si>
  <si>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</si>
  <si>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</si>
  <si>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</si>
  <si>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</si>
  <si>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</si>
  <si>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</si>
  <si>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</si>
  <si>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</si>
  <si>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</si>
  <si>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</si>
  <si>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</si>
  <si>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</si>
  <si>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</si>
  <si>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</si>
  <si>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</si>
  <si>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</si>
  <si>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</si>
  <si>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</si>
  <si>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</si>
  <si>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</si>
  <si>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</si>
  <si>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</si>
  <si>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</si>
  <si>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</si>
  <si>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</si>
  <si>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</si>
  <si>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</si>
  <si>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</si>
  <si>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</si>
  <si>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</si>
  <si>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</si>
  <si>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</si>
  <si>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</si>
  <si>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</si>
  <si>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</si>
  <si>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</si>
  <si>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</si>
  <si>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</si>
  <si>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</si>
  <si>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</si>
  <si>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</si>
  <si>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</si>
  <si>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</si>
  <si>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</si>
  <si>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</si>
  <si>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</si>
  <si>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</si>
  <si>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</si>
  <si>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</si>
  <si>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</si>
  <si>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</si>
  <si>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</si>
  <si>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</si>
  <si>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</si>
  <si>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</si>
  <si>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</si>
  <si>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</si>
  <si>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</si>
  <si>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</si>
  <si>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</si>
  <si>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</si>
  <si>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</si>
  <si>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</si>
  <si>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</si>
  <si>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</si>
  <si>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</si>
  <si>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</si>
  <si>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</si>
  <si>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</si>
  <si>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</si>
  <si>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</si>
  <si>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</si>
  <si>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</si>
  <si>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</si>
  <si>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</si>
  <si>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</si>
  <si>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</si>
  <si>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</si>
  <si>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</si>
  <si>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</si>
  <si>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</si>
  <si>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</si>
  <si>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</si>
  <si>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</si>
  <si>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</si>
  <si>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</si>
  <si>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</si>
  <si>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</si>
  <si>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</si>
  <si>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</si>
  <si>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</si>
  <si>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</si>
  <si>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</si>
  <si>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</si>
  <si>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</si>
  <si>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</si>
  <si>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</si>
  <si>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</si>
  <si>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</si>
  <si>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</si>
  <si>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</si>
  <si>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</si>
  <si>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</si>
  <si>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</si>
  <si>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</si>
  <si>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</si>
  <si>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</si>
  <si>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</si>
  <si>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</si>
  <si>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</si>
  <si>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</si>
  <si>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</si>
  <si>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</si>
  <si>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</si>
  <si>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</si>
  <si>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</si>
  <si>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</si>
  <si>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</si>
  <si>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</si>
  <si>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</si>
  <si>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</si>
  <si>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</si>
  <si>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</si>
  <si>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</si>
  <si>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</si>
  <si>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</si>
  <si>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</si>
  <si>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</si>
  <si>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</si>
  <si>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</si>
  <si>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</si>
  <si>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</si>
  <si>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</si>
  <si>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</si>
  <si>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</si>
  <si>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</si>
  <si>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</si>
  <si>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</si>
  <si>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</si>
  <si>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</si>
  <si>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</si>
  <si>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</si>
  <si>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</si>
  <si>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</si>
  <si>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</si>
  <si>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</si>
  <si>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</si>
  <si>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</si>
  <si>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</si>
  <si>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</si>
  <si>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</si>
  <si>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</si>
  <si>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</si>
  <si>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</si>
  <si>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</si>
  <si>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</si>
  <si>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</si>
  <si>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</si>
  <si>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</si>
  <si>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</si>
  <si>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</si>
  <si>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</si>
  <si>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</si>
  <si>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</si>
  <si>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</si>
  <si>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</si>
  <si>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</si>
  <si>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</si>
  <si>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</si>
  <si>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</si>
  <si>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</si>
  <si>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</si>
  <si>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</si>
  <si>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</si>
  <si>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</si>
  <si>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</si>
  <si>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</si>
  <si>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</si>
  <si>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</si>
  <si>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</si>
  <si>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</si>
  <si>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</si>
  <si>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</si>
  <si>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</si>
  <si>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</si>
  <si>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</si>
  <si>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</si>
  <si>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</si>
  <si>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</si>
  <si>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</si>
  <si>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</si>
  <si>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</si>
  <si>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</si>
  <si>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</si>
  <si>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</si>
  <si>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</si>
  <si>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</si>
  <si>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</si>
  <si>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</si>
  <si>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</si>
  <si>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</si>
  <si>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</si>
  <si>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</si>
  <si>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</si>
  <si>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</si>
  <si>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</si>
  <si>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</si>
  <si>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</si>
  <si>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</si>
  <si>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</si>
  <si>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</si>
  <si>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</si>
  <si>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</si>
  <si>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</si>
  <si>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</si>
  <si>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</si>
  <si>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</si>
  <si>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</si>
  <si>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</si>
  <si>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北京华新电工设备有限公司</t>
    <phoneticPr fontId="6" type="noConversion"/>
  </si>
  <si>
    <t>抵押</t>
  </si>
  <si>
    <t>已注销及未注销</t>
  </si>
  <si>
    <t>房地产抵押价值</t>
  </si>
  <si>
    <t>北京市</t>
  </si>
  <si>
    <t>企业</t>
  </si>
  <si>
    <t>出让</t>
  </si>
  <si>
    <t>欧红伟</t>
  </si>
  <si>
    <t>车间</t>
    <phoneticPr fontId="6" type="noConversion"/>
  </si>
  <si>
    <t>是</t>
  </si>
  <si>
    <t>工业项目</t>
  </si>
  <si>
    <t>现房</t>
  </si>
  <si>
    <t>通路</t>
  </si>
  <si>
    <t>通电</t>
  </si>
  <si>
    <t>通讯</t>
  </si>
  <si>
    <t>通上水</t>
  </si>
  <si>
    <t>通下水</t>
  </si>
  <si>
    <t>地上</t>
  </si>
  <si>
    <t>办公楼</t>
  </si>
  <si>
    <t>28号楼</t>
  </si>
  <si>
    <t>28号楼</t>
    <phoneticPr fontId="7" type="noConversion"/>
  </si>
  <si>
    <t>成新度</t>
  </si>
  <si>
    <t>售价</t>
  </si>
  <si>
    <t>总部国际</t>
    <phoneticPr fontId="3" type="noConversion"/>
  </si>
  <si>
    <t>海鹰路6号院28号楼</t>
    <phoneticPr fontId="3" type="noConversion"/>
  </si>
  <si>
    <t>工业</t>
    <phoneticPr fontId="32" type="noConversion"/>
  </si>
  <si>
    <t>正常</t>
  </si>
  <si>
    <t>30-40（含）</t>
  </si>
  <si>
    <t>原件</t>
  </si>
  <si>
    <t>招商银行股份有限公司北京分行</t>
    <phoneticPr fontId="6" type="noConversion"/>
  </si>
  <si>
    <t>全部</t>
    <phoneticPr fontId="6" type="noConversion"/>
  </si>
  <si>
    <r>
      <t>28</t>
    </r>
    <r>
      <rPr>
        <sz val="10"/>
        <color indexed="8"/>
        <rFont val="宋体"/>
        <family val="3"/>
        <charset val="134"/>
      </rPr>
      <t>号楼</t>
    </r>
    <phoneticPr fontId="3" type="noConversion"/>
  </si>
  <si>
    <t>《最高额抵押合同》</t>
    <phoneticPr fontId="87" type="noConversion"/>
  </si>
  <si>
    <t>复印件</t>
  </si>
  <si>
    <t>估价对象位于科技园商圈，周边办公楼项目有总部基地，诺德中心，汉威大厦等，入驻率高，办公集聚程度较好</t>
  </si>
  <si>
    <t>估价对象所属项目北侧距南四环路约1公里，西距西五环约2公里，周边1公里以内有470、快速直达107.快速直达112，快速直达119、专63等公共交通线路，停车便捷程度，综合评价交通便捷度较好。</t>
  </si>
  <si>
    <t>估价对象所在区域基础设施达五通。</t>
  </si>
  <si>
    <t>城市支路</t>
  </si>
  <si>
    <t>城市支路</t>
    <phoneticPr fontId="25" type="noConversion"/>
  </si>
  <si>
    <t>城市支路</t>
    <phoneticPr fontId="32" type="noConversion"/>
  </si>
  <si>
    <t>较好</t>
  </si>
  <si>
    <t>五通</t>
  </si>
  <si>
    <t>高速公路</t>
    <phoneticPr fontId="32" type="noConversion"/>
  </si>
  <si>
    <t>城市快速路</t>
    <phoneticPr fontId="32" type="noConversion"/>
  </si>
  <si>
    <t>城市主干道</t>
    <phoneticPr fontId="32" type="noConversion"/>
  </si>
  <si>
    <t>城市次干道</t>
    <phoneticPr fontId="32" type="noConversion"/>
  </si>
  <si>
    <t>高层</t>
    <phoneticPr fontId="32" type="noConversion"/>
  </si>
  <si>
    <t>中层</t>
  </si>
  <si>
    <t>中层</t>
    <phoneticPr fontId="32" type="noConversion"/>
  </si>
  <si>
    <t>低层</t>
    <phoneticPr fontId="32" type="noConversion"/>
  </si>
  <si>
    <t>钢混</t>
  </si>
  <si>
    <t>钢混</t>
    <phoneticPr fontId="32" type="noConversion"/>
  </si>
  <si>
    <t>混合</t>
    <phoneticPr fontId="32" type="noConversion"/>
  </si>
  <si>
    <t>精装</t>
  </si>
  <si>
    <t>精装</t>
    <phoneticPr fontId="32" type="noConversion"/>
  </si>
  <si>
    <t>普装</t>
  </si>
  <si>
    <t>普装</t>
    <phoneticPr fontId="32" type="noConversion"/>
  </si>
  <si>
    <t>简装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</si>
  <si>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</si>
  <si>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</si>
  <si>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</si>
  <si>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</si>
  <si>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</si>
  <si>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phoneticPr fontId="32" type="noConversion"/>
  </si>
  <si>
    <t>五通</t>
    <phoneticPr fontId="32" type="noConversion"/>
  </si>
  <si>
    <t>标准</t>
    <phoneticPr fontId="32" type="noConversion"/>
  </si>
  <si>
    <t>精装</t>
    <phoneticPr fontId="32" type="noConversion"/>
  </si>
  <si>
    <t>总部基地</t>
    <phoneticPr fontId="3" type="noConversion"/>
  </si>
  <si>
    <t>比较法-办公</t>
  </si>
  <si>
    <t>收益法 (元)</t>
  </si>
  <si>
    <t>押一</t>
  </si>
  <si>
    <t>按租金收入计税</t>
  </si>
  <si>
    <t>非生产用房</t>
  </si>
  <si>
    <t>租金</t>
  </si>
  <si>
    <t>建筑面积</t>
  </si>
  <si>
    <t>土地面积</t>
  </si>
  <si>
    <t>出让国有建设用地使用权价值</t>
  </si>
  <si>
    <t>建筑物价值</t>
  </si>
  <si>
    <t>北京华新电工设备有限公司</t>
    <phoneticPr fontId="6" type="noConversion"/>
  </si>
  <si>
    <t>北京邮储银行顺义支行</t>
    <phoneticPr fontId="6" type="noConversion"/>
  </si>
  <si>
    <t>城市支路—外环西路</t>
    <phoneticPr fontId="32" type="noConversion"/>
  </si>
  <si>
    <t>一般</t>
  </si>
  <si>
    <t>估价对象周边人文环境一般；有御康公园，自然环境一般；综合评价环境状况一般。</t>
    <phoneticPr fontId="25" type="noConversion"/>
  </si>
  <si>
    <t>广场南三路</t>
    <phoneticPr fontId="32" type="noConversion"/>
  </si>
  <si>
    <t>广场南三路</t>
    <phoneticPr fontId="143" type="noConversion"/>
  </si>
  <si>
    <r>
      <rPr>
        <sz val="12"/>
        <rFont val="宋体"/>
        <family val="3"/>
        <charset val="134"/>
      </rPr>
      <t>丰台区海鹰路</t>
    </r>
    <r>
      <rPr>
        <sz val="12"/>
        <rFont val="Arial"/>
        <family val="2"/>
      </rPr>
      <t>6</t>
    </r>
    <r>
      <rPr>
        <sz val="12"/>
        <rFont val="宋体"/>
        <family val="3"/>
        <charset val="134"/>
      </rPr>
      <t>号院</t>
    </r>
    <r>
      <rPr>
        <sz val="12"/>
        <rFont val="Arial"/>
        <family val="2"/>
      </rPr>
      <t>28</t>
    </r>
    <r>
      <rPr>
        <sz val="12"/>
        <rFont val="宋体"/>
        <family val="3"/>
        <charset val="134"/>
      </rPr>
      <t>号楼</t>
    </r>
    <phoneticPr fontId="6" type="noConversion"/>
  </si>
  <si>
    <r>
      <rPr>
        <sz val="12"/>
        <rFont val="宋体"/>
        <family val="3"/>
        <charset val="134"/>
      </rPr>
      <t>剩余土地年限</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</si>
  <si>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</si>
  <si>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</si>
  <si>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《房屋所有权证》</t>
    </r>
    <r>
      <rPr>
        <sz val="12"/>
        <rFont val="Arial"/>
        <family val="2"/>
      </rPr>
      <t>[X</t>
    </r>
    <r>
      <rPr>
        <sz val="12"/>
        <rFont val="宋体"/>
        <family val="3"/>
        <charset val="134"/>
      </rPr>
      <t>京房权证丰字第</t>
    </r>
    <r>
      <rPr>
        <sz val="12"/>
        <rFont val="Arial"/>
        <family val="2"/>
      </rPr>
      <t>342603</t>
    </r>
    <r>
      <rPr>
        <sz val="12"/>
        <rFont val="宋体"/>
        <family val="3"/>
        <charset val="134"/>
      </rPr>
      <t>号</t>
    </r>
    <r>
      <rPr>
        <sz val="12"/>
        <rFont val="Arial"/>
        <family val="2"/>
      </rPr>
      <t>]</t>
    </r>
    <phoneticPr fontId="6" type="noConversion"/>
  </si>
  <si>
    <r>
      <rPr>
        <sz val="12"/>
        <rFont val="宋体"/>
        <family val="3"/>
        <charset val="134"/>
      </rPr>
      <t>土地面积</t>
    </r>
    <phoneticPr fontId="85" type="noConversion"/>
  </si>
  <si>
    <r>
      <rPr>
        <sz val="12"/>
        <rFont val="宋体"/>
        <family val="3"/>
        <charset val="134"/>
      </rPr>
      <t>《国有土地使用证》</t>
    </r>
    <r>
      <rPr>
        <sz val="12"/>
        <rFont val="Arial"/>
        <family val="2"/>
      </rPr>
      <t>[</t>
    </r>
    <r>
      <rPr>
        <sz val="12"/>
        <rFont val="宋体"/>
        <family val="3"/>
        <charset val="134"/>
      </rPr>
      <t>京丰国用（</t>
    </r>
    <r>
      <rPr>
        <sz val="12"/>
        <rFont val="Arial"/>
        <family val="2"/>
      </rPr>
      <t>2012</t>
    </r>
    <r>
      <rPr>
        <sz val="12"/>
        <rFont val="宋体"/>
        <family val="3"/>
        <charset val="134"/>
      </rPr>
      <t>出）第</t>
    </r>
    <r>
      <rPr>
        <sz val="12"/>
        <rFont val="Arial"/>
        <family val="2"/>
      </rPr>
      <t>00210</t>
    </r>
    <r>
      <rPr>
        <sz val="12"/>
        <rFont val="宋体"/>
        <family val="3"/>
        <charset val="134"/>
      </rPr>
      <t>号</t>
    </r>
    <r>
      <rPr>
        <sz val="12"/>
        <rFont val="Arial"/>
        <family val="2"/>
      </rPr>
      <t>]</t>
    </r>
    <phoneticPr fontId="6" type="noConversion"/>
  </si>
  <si>
    <r>
      <rPr>
        <sz val="10"/>
        <rFont val="宋体"/>
        <family val="3"/>
        <charset val="134"/>
      </rPr>
      <t>原件</t>
    </r>
  </si>
  <si>
    <r>
      <rPr>
        <sz val="10"/>
        <rFont val="宋体"/>
        <family val="3"/>
        <charset val="134"/>
      </rPr>
      <t>设定日期</t>
    </r>
    <phoneticPr fontId="87" type="noConversion"/>
  </si>
  <si>
    <r>
      <rPr>
        <sz val="10"/>
        <rFont val="宋体"/>
        <family val="3"/>
        <charset val="134"/>
      </rPr>
      <t>权利人</t>
    </r>
    <phoneticPr fontId="87" type="noConversion"/>
  </si>
  <si>
    <r>
      <rPr>
        <sz val="10"/>
        <rFont val="宋体"/>
        <family val="3"/>
        <charset val="134"/>
      </rPr>
      <t>权利范围</t>
    </r>
    <phoneticPr fontId="87" type="noConversion"/>
  </si>
  <si>
    <r>
      <rPr>
        <sz val="10"/>
        <rFont val="宋体"/>
        <family val="3"/>
        <charset val="134"/>
      </rPr>
      <t>权利价值</t>
    </r>
    <phoneticPr fontId="87" type="noConversion"/>
  </si>
  <si>
    <t>郑燚</t>
  </si>
  <si>
    <t>成本比率</t>
  </si>
  <si>
    <t>简装</t>
  </si>
  <si>
    <r>
      <rPr>
        <sz val="12"/>
        <rFont val="宋体"/>
        <family val="3"/>
        <charset val="134"/>
      </rPr>
      <t>车间</t>
    </r>
    <r>
      <rPr>
        <sz val="12"/>
        <rFont val="Arial"/>
        <family val="2"/>
      </rPr>
      <t>36.95</t>
    </r>
    <r>
      <rPr>
        <sz val="12"/>
        <rFont val="宋体"/>
        <family val="3"/>
        <charset val="134"/>
      </rPr>
      <t>年</t>
    </r>
    <phoneticPr fontId="6" type="noConversion"/>
  </si>
  <si>
    <t>估价对象周边有商业（资和信百货、永旺综合百货超市、7-ELEVEN超市、全时超市）、银行（北京银行、天津银行）、学校（丰台八中附属小学、罗利国际幼儿园）、等公共服务配套设施，综合评价公共配套设施情况较齐备。</t>
    <phoneticPr fontId="25" type="noConversion"/>
  </si>
  <si>
    <t>城市支路—外环西路</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</si>
</sst>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225" fillId="0" borderId="24" xfId="10" applyNumberFormat="1" applyFont="1" applyFill="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60" fillId="6" borderId="13" xfId="1" applyFont="1" applyFill="1" applyBorder="1" applyAlignment="1" applyProtection="1">
      <alignment vertical="center"/>
    </xf>
    <xf numFmtId="0" fontId="60" fillId="6" borderId="2" xfId="1" applyFont="1" applyFill="1" applyBorder="1" applyAlignment="1" applyProtection="1">
      <alignment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49" fontId="225" fillId="0" borderId="24" xfId="10" applyNumberFormat="1" applyFont="1" applyFill="1" applyBorder="1" applyAlignment="1" applyProtection="1">
      <alignment horizontal="center"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56" fillId="5" borderId="24" xfId="0" applyFont="1" applyFill="1" applyBorder="1" applyAlignment="1" applyProtection="1">
      <alignment horizontal="center" vertical="center" wrapText="1"/>
      <protection locked="0"/>
    </xf>
    <xf numFmtId="0" fontId="19" fillId="0" borderId="23" xfId="0" applyFont="1" applyBorder="1" applyAlignment="1" applyProtection="1">
      <alignment vertical="center" wrapText="1"/>
      <protection locked="0"/>
    </xf>
    <xf numFmtId="0" fontId="61" fillId="6" borderId="0" xfId="0" applyFont="1" applyFill="1" applyBorder="1" applyAlignment="1" applyProtection="1">
      <alignment vertical="center" wrapText="1"/>
    </xf>
    <xf numFmtId="184" fontId="56" fillId="0" borderId="24" xfId="0" applyNumberFormat="1" applyFont="1" applyFill="1" applyBorder="1" applyAlignment="1" applyProtection="1">
      <alignment horizontal="left" vertical="center" shrinkToFit="1"/>
      <protection locked="0"/>
    </xf>
    <xf numFmtId="0" fontId="56" fillId="6" borderId="16" xfId="0" applyFont="1" applyFill="1" applyBorder="1" applyAlignment="1" applyProtection="1">
      <alignment horizontal="right" vertical="center" wrapText="1"/>
    </xf>
    <xf numFmtId="0" fontId="19" fillId="0" borderId="24" xfId="0" applyFont="1" applyFill="1" applyBorder="1" applyAlignment="1" applyProtection="1">
      <alignment horizontal="left" vertical="center" wrapText="1"/>
      <protection locked="0"/>
    </xf>
    <xf numFmtId="0" fontId="56" fillId="6" borderId="18" xfId="0" applyFont="1" applyFill="1" applyBorder="1" applyAlignment="1" applyProtection="1">
      <alignment horizontal="right" vertical="center" wrapText="1"/>
    </xf>
    <xf numFmtId="0" fontId="56" fillId="0" borderId="79" xfId="0" applyFont="1" applyFill="1" applyBorder="1" applyAlignment="1" applyProtection="1">
      <alignment horizontal="left" vertical="center" wrapText="1"/>
      <protection locked="0"/>
    </xf>
    <xf numFmtId="0" fontId="56" fillId="6" borderId="89" xfId="0" applyFont="1" applyFill="1" applyBorder="1" applyAlignment="1" applyProtection="1">
      <alignment horizontal="right" vertical="center" wrapText="1"/>
    </xf>
    <xf numFmtId="0" fontId="120" fillId="5" borderId="0" xfId="0" applyFont="1" applyFill="1" applyBorder="1" applyAlignment="1" applyProtection="1">
      <alignment horizontal="center" vertical="center"/>
      <protection locked="0"/>
    </xf>
    <xf numFmtId="184" fontId="57" fillId="0" borderId="1" xfId="0" applyNumberFormat="1" applyFont="1" applyFill="1" applyBorder="1" applyAlignment="1" applyProtection="1">
      <alignment horizontal="center" vertical="center" shrinkToFit="1"/>
      <protection locked="0"/>
    </xf>
    <xf numFmtId="0" fontId="0" fillId="5"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47626</xdr:rowOff>
    </xdr:from>
    <xdr:to>
      <xdr:col>7</xdr:col>
      <xdr:colOff>563637</xdr:colOff>
      <xdr:row>28</xdr:row>
      <xdr:rowOff>104776</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7626"/>
          <a:ext cx="5164212" cy="4857750"/>
        </a:xfrm>
        <a:prstGeom prst="rect">
          <a:avLst/>
        </a:prstGeom>
      </xdr:spPr>
    </xdr:pic>
    <xdr:clientData/>
  </xdr:twoCellAnchor>
  <xdr:twoCellAnchor editAs="oneCell">
    <xdr:from>
      <xdr:col>9</xdr:col>
      <xdr:colOff>152399</xdr:colOff>
      <xdr:row>0</xdr:row>
      <xdr:rowOff>0</xdr:rowOff>
    </xdr:from>
    <xdr:to>
      <xdr:col>17</xdr:col>
      <xdr:colOff>608696</xdr:colOff>
      <xdr:row>20</xdr:row>
      <xdr:rowOff>109997</xdr:rowOff>
    </xdr:to>
    <xdr:pic>
      <xdr:nvPicPr>
        <xdr:cNvPr id="3" name="图片 2"/>
        <xdr:cNvPicPr>
          <a:picLocks noChangeAspect="1"/>
        </xdr:cNvPicPr>
      </xdr:nvPicPr>
      <xdr:blipFill>
        <a:blip xmlns:r="http://schemas.openxmlformats.org/officeDocument/2006/relationships" r:embed="rId2"/>
        <a:stretch>
          <a:fillRect/>
        </a:stretch>
      </xdr:blipFill>
      <xdr:spPr>
        <a:xfrm>
          <a:off x="6324599" y="0"/>
          <a:ext cx="5942697" cy="3538997"/>
        </a:xfrm>
        <a:prstGeom prst="rect">
          <a:avLst/>
        </a:prstGeom>
      </xdr:spPr>
    </xdr:pic>
    <xdr:clientData/>
  </xdr:twoCellAnchor>
  <xdr:twoCellAnchor editAs="oneCell">
    <xdr:from>
      <xdr:col>0</xdr:col>
      <xdr:colOff>238126</xdr:colOff>
      <xdr:row>28</xdr:row>
      <xdr:rowOff>95250</xdr:rowOff>
    </xdr:from>
    <xdr:to>
      <xdr:col>6</xdr:col>
      <xdr:colOff>600076</xdr:colOff>
      <xdr:row>57</xdr:row>
      <xdr:rowOff>46312</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6" y="4895850"/>
          <a:ext cx="4476750" cy="4923112"/>
        </a:xfrm>
        <a:prstGeom prst="rect">
          <a:avLst/>
        </a:prstGeom>
      </xdr:spPr>
    </xdr:pic>
    <xdr:clientData/>
  </xdr:twoCellAnchor>
  <xdr:twoCellAnchor editAs="oneCell">
    <xdr:from>
      <xdr:col>0</xdr:col>
      <xdr:colOff>200025</xdr:colOff>
      <xdr:row>37</xdr:row>
      <xdr:rowOff>57151</xdr:rowOff>
    </xdr:from>
    <xdr:to>
      <xdr:col>8</xdr:col>
      <xdr:colOff>218209</xdr:colOff>
      <xdr:row>48</xdr:row>
      <xdr:rowOff>23705</xdr:rowOff>
    </xdr:to>
    <xdr:pic>
      <xdr:nvPicPr>
        <xdr:cNvPr id="5" name="图片 4"/>
        <xdr:cNvPicPr>
          <a:picLocks noChangeAspect="1"/>
        </xdr:cNvPicPr>
      </xdr:nvPicPr>
      <xdr:blipFill>
        <a:blip xmlns:r="http://schemas.openxmlformats.org/officeDocument/2006/relationships" r:embed="rId4"/>
        <a:stretch>
          <a:fillRect/>
        </a:stretch>
      </xdr:blipFill>
      <xdr:spPr>
        <a:xfrm>
          <a:off x="200025" y="6400801"/>
          <a:ext cx="5504584" cy="1852504"/>
        </a:xfrm>
        <a:prstGeom prst="rect">
          <a:avLst/>
        </a:prstGeom>
      </xdr:spPr>
    </xdr:pic>
    <xdr:clientData/>
  </xdr:twoCellAnchor>
  <xdr:twoCellAnchor editAs="oneCell">
    <xdr:from>
      <xdr:col>10</xdr:col>
      <xdr:colOff>171450</xdr:colOff>
      <xdr:row>20</xdr:row>
      <xdr:rowOff>152400</xdr:rowOff>
    </xdr:from>
    <xdr:to>
      <xdr:col>18</xdr:col>
      <xdr:colOff>475302</xdr:colOff>
      <xdr:row>40</xdr:row>
      <xdr:rowOff>159773</xdr:rowOff>
    </xdr:to>
    <xdr:pic>
      <xdr:nvPicPr>
        <xdr:cNvPr id="6" name="图片 5"/>
        <xdr:cNvPicPr>
          <a:picLocks noChangeAspect="1"/>
        </xdr:cNvPicPr>
      </xdr:nvPicPr>
      <xdr:blipFill>
        <a:blip xmlns:r="http://schemas.openxmlformats.org/officeDocument/2006/relationships" r:embed="rId5"/>
        <a:stretch>
          <a:fillRect/>
        </a:stretch>
      </xdr:blipFill>
      <xdr:spPr>
        <a:xfrm>
          <a:off x="7029450" y="3581400"/>
          <a:ext cx="5790252" cy="3436373"/>
        </a:xfrm>
        <a:prstGeom prst="rect">
          <a:avLst/>
        </a:prstGeom>
      </xdr:spPr>
    </xdr:pic>
    <xdr:clientData/>
  </xdr:twoCellAnchor>
  <xdr:twoCellAnchor editAs="oneCell">
    <xdr:from>
      <xdr:col>1</xdr:col>
      <xdr:colOff>0</xdr:colOff>
      <xdr:row>58</xdr:row>
      <xdr:rowOff>1</xdr:rowOff>
    </xdr:from>
    <xdr:to>
      <xdr:col>9</xdr:col>
      <xdr:colOff>515492</xdr:colOff>
      <xdr:row>77</xdr:row>
      <xdr:rowOff>114301</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9944101"/>
          <a:ext cx="6001892" cy="3371850"/>
        </a:xfrm>
        <a:prstGeom prst="rect">
          <a:avLst/>
        </a:prstGeom>
      </xdr:spPr>
    </xdr:pic>
    <xdr:clientData/>
  </xdr:twoCellAnchor>
  <xdr:twoCellAnchor editAs="oneCell">
    <xdr:from>
      <xdr:col>9</xdr:col>
      <xdr:colOff>647699</xdr:colOff>
      <xdr:row>57</xdr:row>
      <xdr:rowOff>95250</xdr:rowOff>
    </xdr:from>
    <xdr:to>
      <xdr:col>18</xdr:col>
      <xdr:colOff>160970</xdr:colOff>
      <xdr:row>78</xdr:row>
      <xdr:rowOff>96071</xdr:rowOff>
    </xdr:to>
    <xdr:pic>
      <xdr:nvPicPr>
        <xdr:cNvPr id="8" name="图片 7"/>
        <xdr:cNvPicPr>
          <a:picLocks noChangeAspect="1"/>
        </xdr:cNvPicPr>
      </xdr:nvPicPr>
      <xdr:blipFill>
        <a:blip xmlns:r="http://schemas.openxmlformats.org/officeDocument/2006/relationships" r:embed="rId7"/>
        <a:stretch>
          <a:fillRect/>
        </a:stretch>
      </xdr:blipFill>
      <xdr:spPr>
        <a:xfrm>
          <a:off x="6819899" y="9867900"/>
          <a:ext cx="5685471" cy="3601271"/>
        </a:xfrm>
        <a:prstGeom prst="rect">
          <a:avLst/>
        </a:prstGeom>
      </xdr:spPr>
    </xdr:pic>
    <xdr:clientData/>
  </xdr:twoCellAnchor>
  <xdr:twoCellAnchor editAs="oneCell">
    <xdr:from>
      <xdr:col>1</xdr:col>
      <xdr:colOff>0</xdr:colOff>
      <xdr:row>78</xdr:row>
      <xdr:rowOff>0</xdr:rowOff>
    </xdr:from>
    <xdr:to>
      <xdr:col>9</xdr:col>
      <xdr:colOff>523875</xdr:colOff>
      <xdr:row>97</xdr:row>
      <xdr:rowOff>6457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3373100"/>
          <a:ext cx="6010275" cy="3264007"/>
        </a:xfrm>
        <a:prstGeom prst="rect">
          <a:avLst/>
        </a:prstGeom>
      </xdr:spPr>
    </xdr:pic>
    <xdr:clientData/>
  </xdr:twoCellAnchor>
  <xdr:twoCellAnchor editAs="oneCell">
    <xdr:from>
      <xdr:col>2</xdr:col>
      <xdr:colOff>0</xdr:colOff>
      <xdr:row>99</xdr:row>
      <xdr:rowOff>0</xdr:rowOff>
    </xdr:from>
    <xdr:to>
      <xdr:col>12</xdr:col>
      <xdr:colOff>170572</xdr:colOff>
      <xdr:row>115</xdr:row>
      <xdr:rowOff>142514</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 y="16973550"/>
          <a:ext cx="7028572" cy="2885714"/>
        </a:xfrm>
        <a:prstGeom prst="rect">
          <a:avLst/>
        </a:prstGeom>
      </xdr:spPr>
    </xdr:pic>
    <xdr:clientData/>
  </xdr:twoCellAnchor>
  <xdr:twoCellAnchor editAs="oneCell">
    <xdr:from>
      <xdr:col>10</xdr:col>
      <xdr:colOff>15240</xdr:colOff>
      <xdr:row>43</xdr:row>
      <xdr:rowOff>22860</xdr:rowOff>
    </xdr:from>
    <xdr:to>
      <xdr:col>22</xdr:col>
      <xdr:colOff>157183</xdr:colOff>
      <xdr:row>53</xdr:row>
      <xdr:rowOff>70250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11240" y="7886700"/>
          <a:ext cx="7457143" cy="18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北京市丰台区海鹰路6号院28号楼房地产抵押价值预评估</v>
      </c>
    </row>
    <row r="3" spans="1:2" s="1593" customFormat="1">
      <c r="A3" s="1591" t="s">
        <v>1221</v>
      </c>
      <c r="B3" s="1592" t="str">
        <f>'预评函-封皮'!B40</f>
        <v>北京华新电工设备有限公司</v>
      </c>
    </row>
    <row r="4" spans="1:2" s="1593" customFormat="1">
      <c r="A4" s="1591" t="s">
        <v>1222</v>
      </c>
      <c r="B4" s="1592" t="str">
        <f ca="1">'预评函-封皮'!B46</f>
        <v>欧红伟（注册号：1120000080)、郑燚（注册号：1120070131)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受贵公司委托，我公司对北京市丰台区海鹰路6号院28号楼房地产抵押价值进行了预评估。</v>
      </c>
    </row>
    <row r="7" spans="1:2" s="1593" customFormat="1">
      <c r="A7" s="1591" t="s">
        <v>1264</v>
      </c>
      <c r="B7" s="1592" t="str">
        <f>'预评函-1'!A7</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为估价委托人在向北京邮储银行顺义支行办理贷款手续过程中，确定房地产抵押贷款额度提供参考依据而评估房地产抵押价值。</v>
      </c>
    </row>
    <row r="12" spans="1:2" s="1593" customFormat="1">
      <c r="A12" s="1591" t="s">
        <v>1226</v>
      </c>
      <c r="B12" s="1592" t="str">
        <f>'预评函-1'!A15</f>
        <v>2018年7月12日（评估专业人员实地查勘之日）</v>
      </c>
    </row>
    <row r="13" spans="1:2" s="1593" customFormat="1">
      <c r="A13" s="1591" t="s">
        <v>1227</v>
      </c>
      <c r="B13" s="1592" t="str">
        <f>'预评函-1'!A18</f>
        <v>本次估价的“房地产价值”是指在正常市场情况下，在价值时点2018年7月12日，估价对象规划用途为车间，土地取得方式为出让，出让国有建设用地使用权剩余土地使用年限为车间36.95年，假定未设立法定优先受偿款下的房地产市场价值。</v>
      </c>
    </row>
    <row r="14" spans="1:2" s="1593" customFormat="1">
      <c r="A14" s="1591" t="s">
        <v>1228</v>
      </c>
      <c r="B14" s="1592" t="str">
        <f>'预评函-1'!A19</f>
        <v>其中，“出让国有建设用地使用权价值”是指估价对象用途为车间，实际开发程度为宗地红线外“五通”（即通路、通电、通讯、通上水、通下水）、红线内场地平整条件下，剩余土地使用年限为车间36.95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5411</v>
      </c>
    </row>
    <row r="21" spans="1:2" s="1593" customFormat="1">
      <c r="A21" s="1591" t="s">
        <v>1235</v>
      </c>
      <c r="B21" s="1592">
        <f ca="1">'预评函-2'!D7</f>
        <v>29846</v>
      </c>
    </row>
    <row r="22" spans="1:2" s="1593" customFormat="1">
      <c r="A22" s="1591" t="s">
        <v>1236</v>
      </c>
      <c r="B22" s="1592" t="str">
        <f ca="1">'预评函-2'!D6</f>
        <v>伍仟肆佰壹拾壹万元整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5411</v>
      </c>
    </row>
    <row r="31" spans="1:2" s="1593" customFormat="1">
      <c r="A31" s="1591" t="s">
        <v>1274</v>
      </c>
      <c r="B31" s="1592">
        <f ca="1">'预评函-2'!D15</f>
        <v>29846</v>
      </c>
    </row>
    <row r="32" spans="1:2" s="1593" customFormat="1">
      <c r="A32" s="1591" t="s">
        <v>1241</v>
      </c>
      <c r="B32" s="1592" t="str">
        <f ca="1">'预评函-2'!D14</f>
        <v>伍仟肆佰壹拾壹万元整</v>
      </c>
    </row>
    <row r="33" spans="1:2" s="1593" customFormat="1">
      <c r="A33" s="1591" t="s">
        <v>1276</v>
      </c>
      <c r="B33" s="1592" t="str">
        <f>'预评函-2'!B16</f>
        <v>4.抵押担保权已注销时的房地产抵押价值</v>
      </c>
    </row>
    <row r="34" spans="1:2" s="1593" customFormat="1">
      <c r="A34" s="1591" t="s">
        <v>1294</v>
      </c>
      <c r="B34" s="1592">
        <f ca="1">'预评函-2'!D16</f>
        <v>5411</v>
      </c>
    </row>
    <row r="35" spans="1:2" s="1593" customFormat="1">
      <c r="A35" s="1591" t="s">
        <v>1275</v>
      </c>
      <c r="B35" s="1592">
        <f ca="1">'预评函-2'!D18</f>
        <v>29846</v>
      </c>
    </row>
    <row r="36" spans="1:2" s="1593" customFormat="1">
      <c r="A36" s="1591" t="s">
        <v>1242</v>
      </c>
      <c r="B36" s="1592" t="str">
        <f ca="1">'预评函-2'!D17</f>
        <v>伍仟肆佰壹拾壹万元整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北京市丰台区海鹰路6号院28号楼房地产</v>
      </c>
    </row>
    <row r="42" spans="1:2" s="1593" customFormat="1">
      <c r="A42" s="1591" t="s">
        <v>1288</v>
      </c>
      <c r="B42" s="1592" t="str">
        <f>'预评函-3'!B2</f>
        <v>建筑面积</v>
      </c>
    </row>
    <row r="43" spans="1:2" s="1593" customFormat="1">
      <c r="A43" s="1591" t="s">
        <v>1289</v>
      </c>
      <c r="B43" s="1592">
        <f>'预评函-3'!B4</f>
        <v>1812.99</v>
      </c>
    </row>
    <row r="44" spans="1:2" s="1593" customFormat="1">
      <c r="A44" s="1591" t="s">
        <v>1273</v>
      </c>
      <c r="B44" s="1592" t="str">
        <f>'预评函-3'!C2</f>
        <v>(分摊)土地面积</v>
      </c>
    </row>
    <row r="45" spans="1:2" s="1593" customFormat="1">
      <c r="A45" s="1591" t="s">
        <v>1245</v>
      </c>
      <c r="B45" s="1592">
        <f>'预评函-3'!C4</f>
        <v>1000.01</v>
      </c>
    </row>
    <row r="46" spans="1:2" s="1593" customFormat="1">
      <c r="A46" s="1591" t="s">
        <v>1271</v>
      </c>
      <c r="B46" s="1592" t="str">
        <f>'预评函-3'!D2</f>
        <v>出让国有建设用地使用权价值</v>
      </c>
    </row>
    <row r="47" spans="1:2" s="1593" customFormat="1">
      <c r="A47" s="1591" t="s">
        <v>1246</v>
      </c>
      <c r="B47" s="1592">
        <f ca="1">'预评函-3'!D4</f>
        <v>4518</v>
      </c>
    </row>
    <row r="48" spans="1:2" s="1593" customFormat="1">
      <c r="A48" s="1591" t="s">
        <v>1247</v>
      </c>
      <c r="B48" s="1592">
        <f ca="1">'预评函-3'!E4</f>
        <v>24920</v>
      </c>
    </row>
    <row r="49" spans="1:2" s="1593" customFormat="1">
      <c r="A49" s="1591" t="s">
        <v>1248</v>
      </c>
      <c r="B49" s="1592" t="str">
        <f ca="1">'预评函-3'!D5</f>
        <v>肆仟伍佰壹拾捌万元整</v>
      </c>
    </row>
    <row r="50" spans="1:2" s="1593" customFormat="1">
      <c r="A50" s="1591" t="s">
        <v>1272</v>
      </c>
      <c r="B50" s="1592" t="str">
        <f>'预评函-3'!F2</f>
        <v>建筑物价值</v>
      </c>
    </row>
    <row r="51" spans="1:2" s="1593" customFormat="1">
      <c r="A51" s="1591" t="s">
        <v>1249</v>
      </c>
      <c r="B51" s="1592">
        <f ca="1">'预评函-3'!F4</f>
        <v>893</v>
      </c>
    </row>
    <row r="52" spans="1:2" s="1593" customFormat="1">
      <c r="A52" s="1591" t="s">
        <v>1250</v>
      </c>
      <c r="B52" s="1592">
        <f ca="1">'预评函-3'!G4</f>
        <v>4926</v>
      </c>
    </row>
    <row r="53" spans="1:2" s="1593" customFormat="1">
      <c r="A53" s="1591" t="s">
        <v>1278</v>
      </c>
      <c r="B53" s="1592" t="str">
        <f ca="1">'预评函-3'!F5</f>
        <v>捌佰玖拾叁万元整</v>
      </c>
    </row>
    <row r="54" spans="1:2" s="1593" customFormat="1">
      <c r="A54" s="1591" t="s">
        <v>1296</v>
      </c>
      <c r="B54" s="1592" t="str">
        <f>'预评函-3'!A8</f>
        <v>房地产抵押价值</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欧红伟</v>
      </c>
    </row>
    <row r="71" spans="1:2">
      <c r="A71" s="1591" t="s">
        <v>1261</v>
      </c>
      <c r="B71" s="1592">
        <f ca="1">'预评函-4'!B4</f>
        <v>1120000080</v>
      </c>
    </row>
    <row r="72" spans="1:2">
      <c r="A72" s="1591" t="s">
        <v>1262</v>
      </c>
      <c r="B72" s="1600" t="str">
        <f>'预评函-4'!A5</f>
        <v>郑燚</v>
      </c>
    </row>
    <row r="73" spans="1:2" s="1587" customFormat="1" ht="15" thickBot="1">
      <c r="A73" s="1594" t="s">
        <v>1263</v>
      </c>
      <c r="B73" s="1595">
        <f ca="1">'预评函-4'!B5</f>
        <v>1120070131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为估价委托人在向北京邮储银行顺义支行办理贷款手续过程中，确定房地产抵押贷款额度提供参考依据而评估房地产抵押价值。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新电工设备有限公司拟使用北京市丰台区海鹰路6号院28号楼房地产作为抵押担保物，向北京邮储银行顺义支行办理贷款手续。北京邮储银行顺义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2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12日，估价对象规划用途为车间土地取得方式为出让，出让国有建设用地使用权剩余土地使用年限为XX年(多用途剩余年限尾数不同时，可只体现小数点后一位)，假定未设立法定优先受偿款下的房地产市场价值。</v>
      </c>
    </row>
    <row r="54" spans="1:4">
      <c r="A54" s="3023"/>
      <c r="B54" s="2022" t="s">
        <v>864</v>
      </c>
      <c r="C54" s="2019" t="s">
        <v>1281</v>
      </c>
    </row>
    <row r="55" spans="1:4">
      <c r="A55" s="3023"/>
      <c r="B55" s="2022" t="s">
        <v>865</v>
      </c>
      <c r="C55" s="2019" t="s">
        <v>1282</v>
      </c>
    </row>
    <row r="56" spans="1:4">
      <c r="A56" s="3023"/>
      <c r="B56" s="2022" t="s">
        <v>866</v>
      </c>
      <c r="C56" s="2019" t="s">
        <v>1286</v>
      </c>
    </row>
    <row r="57" spans="1:4">
      <c r="A57" s="302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D4" sqref="D4"/>
    </sheetView>
  </sheetViews>
  <sheetFormatPr defaultColWidth="10" defaultRowHeight="18" customHeight="1"/>
  <cols>
    <col min="1" max="1" width="14.875" style="2032" customWidth="1"/>
    <col min="2" max="2" width="13" style="2032" customWidth="1"/>
    <col min="3" max="3" width="11.5" style="2032" customWidth="1"/>
    <col min="4" max="4" width="12.5" style="2032" customWidth="1"/>
    <col min="5" max="6" width="10" style="2032" customWidth="1"/>
    <col min="7" max="7" width="10.75" style="2032" customWidth="1"/>
    <col min="8" max="8" width="10" style="2032" customWidth="1"/>
    <col min="9" max="9" width="11.125" style="2146" customWidth="1"/>
    <col min="10" max="10" width="10" style="2032" customWidth="1"/>
    <col min="11" max="11" width="10" style="2147" customWidth="1"/>
    <col min="12" max="13" width="10" style="2148" customWidth="1"/>
    <col min="14" max="14" width="10" style="2032" customWidth="1"/>
    <col min="15" max="15" width="10" style="2146" customWidth="1"/>
    <col min="16" max="17" width="10" style="2032"/>
    <col min="18" max="18" width="10" style="2032" customWidth="1"/>
    <col min="19" max="16384" width="10" style="2032"/>
  </cols>
  <sheetData>
    <row r="1" spans="1:19" ht="38.25" customHeight="1" thickBot="1">
      <c r="A1" s="2025" t="s">
        <v>1776</v>
      </c>
      <c r="B1" s="3024" t="str">
        <f>IF(B10="北京市","北京市",C10)&amp;F10&amp;IF(结果表!G1="在建","出让国有建设用地使用权及在建建筑物",IF(结果表!G1="土地","出让国有建设用地使用权",))&amp;B9&amp;"预评估"</f>
        <v>北京市丰台区海鹰路6号院28号楼房地产抵押价值预评估</v>
      </c>
      <c r="C1" s="3025"/>
      <c r="D1" s="3025"/>
      <c r="E1" s="3025"/>
      <c r="F1" s="3025"/>
      <c r="G1" s="3025"/>
      <c r="H1" s="3025"/>
      <c r="I1" s="302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北京市丰台区海鹰路6号院28号楼房地产抵押价值</v>
      </c>
    </row>
    <row r="2" spans="1:19" ht="18" customHeight="1">
      <c r="A2" s="2026" t="s">
        <v>1777</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北京市丰台区海鹰路6号院28号楼房地产</v>
      </c>
    </row>
    <row r="3" spans="1:19" ht="18" customHeight="1">
      <c r="A3" s="2035" t="s">
        <v>1778</v>
      </c>
      <c r="B3" s="2036">
        <v>43293</v>
      </c>
      <c r="C3" s="2037" t="s">
        <v>1779</v>
      </c>
      <c r="D3" s="2036">
        <v>43293</v>
      </c>
      <c r="E3" s="2026"/>
      <c r="F3" s="2026"/>
      <c r="G3" s="2026"/>
      <c r="H3" s="2026"/>
      <c r="I3" s="2026"/>
      <c r="J3" s="2026"/>
      <c r="K3" s="2027"/>
      <c r="L3" s="2028"/>
      <c r="M3" s="2028"/>
      <c r="N3" s="2029"/>
      <c r="O3" s="2030"/>
      <c r="P3" s="2029"/>
      <c r="Q3" s="2029"/>
      <c r="R3" s="2029"/>
      <c r="S3" s="2031"/>
    </row>
    <row r="4" spans="1:19" ht="18" customHeight="1" thickBot="1">
      <c r="A4" s="2038" t="s">
        <v>1780</v>
      </c>
      <c r="B4" s="2039" t="s">
        <v>3044</v>
      </c>
      <c r="C4" s="1040">
        <f ca="1">SUMIF(注册房地产估价师,B4,估价师及机构信息!B3:B24)</f>
        <v>1120000080</v>
      </c>
      <c r="D4" s="2039" t="s">
        <v>3134</v>
      </c>
      <c r="E4" s="1041">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欧红伟（注册号：1120000080)、郑燚（注册号：1120070131)</v>
      </c>
      <c r="L4" s="2028"/>
      <c r="M4" s="2028"/>
      <c r="N4" s="2029"/>
      <c r="O4" s="2030"/>
      <c r="P4" s="2029"/>
      <c r="Q4" s="2029"/>
      <c r="R4" s="2029"/>
      <c r="S4" s="2031"/>
    </row>
    <row r="5" spans="1:19" ht="18" customHeight="1" thickTop="1">
      <c r="A5" s="2044" t="s">
        <v>1781</v>
      </c>
      <c r="B5" s="2940" t="s">
        <v>3115</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1" t="s">
        <v>3116</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1783</v>
      </c>
      <c r="B7" s="2048" t="str">
        <f>B5</f>
        <v>北京华新电工设备有限公司</v>
      </c>
      <c r="C7" s="2049"/>
      <c r="D7" s="2050"/>
      <c r="E7" s="2034"/>
      <c r="F7" s="2042"/>
      <c r="G7" s="2042"/>
      <c r="H7" s="2042"/>
      <c r="I7" s="2042"/>
      <c r="J7" s="2042"/>
      <c r="K7" s="2052"/>
      <c r="L7" s="2028"/>
      <c r="M7" s="2028"/>
      <c r="N7" s="2029"/>
      <c r="O7" s="2030"/>
      <c r="P7" s="2029"/>
      <c r="Q7" s="2029"/>
      <c r="R7" s="2029"/>
    </row>
    <row r="8" spans="1:19" ht="18" customHeight="1">
      <c r="A8" s="2047" t="s">
        <v>1784</v>
      </c>
      <c r="B8" s="2053" t="s">
        <v>3038</v>
      </c>
      <c r="C8" s="2054"/>
      <c r="D8" s="3027" t="s">
        <v>1785</v>
      </c>
      <c r="E8" s="2055" t="s">
        <v>3039</v>
      </c>
      <c r="F8" s="2056"/>
      <c r="G8" s="2026"/>
      <c r="H8" s="2026"/>
      <c r="I8" s="2026"/>
      <c r="J8" s="2042"/>
      <c r="K8" s="2043"/>
      <c r="L8" s="2028"/>
      <c r="M8" s="2028"/>
      <c r="N8" s="2029"/>
      <c r="O8" s="2030"/>
      <c r="P8" s="2029"/>
      <c r="Q8" s="2029"/>
      <c r="R8" s="2029"/>
    </row>
    <row r="9" spans="1:19" ht="18" customHeight="1" thickBot="1">
      <c r="A9" s="2040" t="s">
        <v>1786</v>
      </c>
      <c r="B9" s="2057" t="s">
        <v>3040</v>
      </c>
      <c r="C9" s="2058"/>
      <c r="D9" s="3028"/>
      <c r="E9" s="2057" t="s">
        <v>70</v>
      </c>
      <c r="F9" s="2059"/>
      <c r="G9" s="2060"/>
      <c r="H9" s="2060"/>
      <c r="I9" s="2060"/>
      <c r="J9" s="2042"/>
      <c r="K9" s="2052"/>
      <c r="L9" s="2028"/>
      <c r="M9" s="2028"/>
      <c r="N9" s="2029"/>
      <c r="O9" s="2030"/>
      <c r="P9" s="2029"/>
      <c r="Q9" s="2029"/>
      <c r="R9" s="2029"/>
    </row>
    <row r="10" spans="1:19" ht="18" customHeight="1" thickTop="1">
      <c r="A10" s="2061" t="s">
        <v>1787</v>
      </c>
      <c r="B10" s="2062" t="s">
        <v>3041</v>
      </c>
      <c r="C10" s="2063"/>
      <c r="D10" s="2046"/>
      <c r="E10" s="2064" t="s">
        <v>1788</v>
      </c>
      <c r="F10" s="2960" t="s">
        <v>3122</v>
      </c>
      <c r="G10" s="2065"/>
      <c r="H10" s="2066"/>
      <c r="I10" s="2046"/>
      <c r="J10" s="2042"/>
      <c r="K10" s="2052"/>
      <c r="L10" s="2028"/>
      <c r="M10" s="2028"/>
      <c r="N10" s="2029"/>
      <c r="O10" s="2030"/>
      <c r="P10" s="2029"/>
      <c r="Q10" s="2029"/>
      <c r="R10" s="2029"/>
    </row>
    <row r="11" spans="1:19" ht="18" customHeight="1">
      <c r="A11" s="2067" t="s">
        <v>1789</v>
      </c>
      <c r="B11" s="2068" t="s">
        <v>3042</v>
      </c>
      <c r="C11" s="2942" t="s">
        <v>3037</v>
      </c>
      <c r="D11" s="2069"/>
      <c r="E11" s="2042"/>
      <c r="F11" s="2042"/>
      <c r="G11" s="2042"/>
      <c r="H11" s="2042"/>
      <c r="I11" s="2042"/>
      <c r="J11" s="2042"/>
      <c r="K11" s="2052"/>
      <c r="L11" s="2028"/>
      <c r="M11" s="2028"/>
      <c r="N11" s="2029"/>
      <c r="O11" s="2030"/>
      <c r="P11" s="2029"/>
      <c r="Q11" s="2029"/>
      <c r="R11" s="2029"/>
    </row>
    <row r="12" spans="1:19" ht="18" customHeight="1">
      <c r="A12" s="2070" t="s">
        <v>1790</v>
      </c>
      <c r="B12" s="2068" t="s">
        <v>3043</v>
      </c>
      <c r="C12" s="2071" t="s">
        <v>1791</v>
      </c>
      <c r="D12" s="2072" t="s">
        <v>1792</v>
      </c>
      <c r="E12" s="2072" t="s">
        <v>1793</v>
      </c>
      <c r="F12" s="2072" t="s">
        <v>1794</v>
      </c>
      <c r="G12" s="2072" t="s">
        <v>1795</v>
      </c>
      <c r="H12" s="2072" t="s">
        <v>1796</v>
      </c>
      <c r="I12" s="2072" t="s">
        <v>1797</v>
      </c>
      <c r="J12" s="2042"/>
      <c r="K12" s="2052"/>
      <c r="L12" s="2028"/>
      <c r="M12" s="2028"/>
      <c r="N12" s="2029"/>
      <c r="O12" s="2030"/>
      <c r="P12" s="2029"/>
      <c r="Q12" s="2029"/>
      <c r="R12" s="2029"/>
    </row>
    <row r="13" spans="1:19" ht="18" customHeight="1">
      <c r="A13" s="2073"/>
      <c r="B13" s="2074"/>
      <c r="C13" s="2075" t="s">
        <v>1798</v>
      </c>
      <c r="D13" s="2076"/>
      <c r="E13" s="2076"/>
      <c r="F13" s="2076"/>
      <c r="G13" s="2076"/>
      <c r="H13" s="2076"/>
      <c r="I13" s="2978">
        <v>56781</v>
      </c>
      <c r="J13" s="2042"/>
      <c r="K13" s="2052"/>
      <c r="L13" s="2028"/>
      <c r="M13" s="2028"/>
      <c r="N13" s="2029"/>
      <c r="O13" s="2030"/>
      <c r="P13" s="2029"/>
      <c r="Q13" s="2029"/>
      <c r="R13" s="2029"/>
    </row>
    <row r="14" spans="1:19" ht="18" customHeight="1">
      <c r="A14" s="2073"/>
      <c r="B14" s="2074"/>
      <c r="C14" s="2075" t="s">
        <v>1799</v>
      </c>
      <c r="D14" s="1052"/>
      <c r="E14" s="1052"/>
      <c r="F14" s="1052"/>
      <c r="G14" s="1052"/>
      <c r="H14" s="1052"/>
      <c r="I14" s="1052">
        <v>50</v>
      </c>
      <c r="J14" s="2042"/>
      <c r="K14" s="2077"/>
      <c r="L14" s="2028"/>
      <c r="M14" s="2028"/>
      <c r="N14" s="2029"/>
      <c r="O14" s="2030"/>
      <c r="P14" s="2029"/>
      <c r="Q14" s="2029"/>
      <c r="R14" s="2029"/>
    </row>
    <row r="15" spans="1:19" ht="18" customHeight="1">
      <c r="A15" s="2061"/>
      <c r="B15" s="2078"/>
      <c r="C15" s="2075"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36.950000000000003</v>
      </c>
      <c r="J15" s="2042"/>
      <c r="K15" s="2079"/>
      <c r="L15" s="2080"/>
      <c r="M15" s="2080"/>
      <c r="N15" s="2081"/>
      <c r="O15" s="2080"/>
      <c r="P15" s="2081"/>
      <c r="Q15" s="2029"/>
      <c r="R15" s="2029"/>
    </row>
    <row r="16" spans="1:19" ht="30.75" customHeight="1">
      <c r="A16" s="2064" t="s">
        <v>1801</v>
      </c>
      <c r="B16" s="3034" t="s">
        <v>3045</v>
      </c>
      <c r="C16" s="3035"/>
      <c r="D16" s="3036"/>
      <c r="E16" s="2961" t="s">
        <v>3123</v>
      </c>
      <c r="F16" s="3037" t="s">
        <v>3137</v>
      </c>
      <c r="G16" s="3038"/>
      <c r="H16" s="3038"/>
      <c r="I16" s="3039"/>
      <c r="J16" s="2029"/>
      <c r="K16" s="2079"/>
      <c r="L16" s="2080"/>
      <c r="M16" s="2080"/>
      <c r="N16" s="2081"/>
      <c r="O16" s="2080"/>
      <c r="P16" s="2081"/>
      <c r="Q16" s="2029"/>
      <c r="R16" s="2029"/>
    </row>
    <row r="17" spans="1:22" ht="18" customHeight="1">
      <c r="A17" s="2082" t="s">
        <v>1802</v>
      </c>
      <c r="B17" s="2962" t="s">
        <v>3124</v>
      </c>
      <c r="C17" s="2963">
        <f>'数据-汇总表'!E3</f>
        <v>1812.99</v>
      </c>
      <c r="D17" s="2964" t="s">
        <v>3125</v>
      </c>
      <c r="E17" s="3040" t="s">
        <v>3126</v>
      </c>
      <c r="F17" s="3041"/>
      <c r="G17" s="3041"/>
      <c r="H17" s="3041"/>
      <c r="I17" s="3042"/>
      <c r="J17" s="2029"/>
      <c r="K17" s="2083"/>
      <c r="L17" s="2080"/>
      <c r="M17" s="2080"/>
      <c r="N17" s="2081"/>
      <c r="O17" s="2080"/>
      <c r="P17" s="2081"/>
      <c r="Q17" s="2029"/>
      <c r="R17" s="2029"/>
      <c r="S17" s="2029"/>
      <c r="T17" s="2029"/>
      <c r="U17" s="2029"/>
      <c r="V17" s="2029"/>
    </row>
    <row r="18" spans="1:22" ht="36" customHeight="1" thickBot="1">
      <c r="A18" s="2084" t="s">
        <v>70</v>
      </c>
      <c r="B18" s="2965" t="s">
        <v>3127</v>
      </c>
      <c r="C18" s="2966">
        <f>'数据-汇总表'!D3</f>
        <v>1000.01</v>
      </c>
      <c r="D18" s="2967" t="s">
        <v>3125</v>
      </c>
      <c r="E18" s="3043" t="s">
        <v>3128</v>
      </c>
      <c r="F18" s="3044"/>
      <c r="G18" s="3044"/>
      <c r="H18" s="3044"/>
      <c r="I18" s="3045"/>
      <c r="J18" s="2029"/>
      <c r="K18" s="2083"/>
      <c r="L18" s="2080"/>
      <c r="M18" s="2080"/>
      <c r="N18" s="2081"/>
      <c r="O18" s="2080"/>
      <c r="P18" s="2081"/>
      <c r="Q18" s="2029"/>
      <c r="R18" s="2029"/>
      <c r="S18" s="2029"/>
      <c r="T18" s="2029"/>
      <c r="U18" s="2029"/>
      <c r="V18" s="2029"/>
    </row>
    <row r="19" spans="1:22" ht="37.5" customHeight="1" thickTop="1" thickBot="1">
      <c r="A19" s="373" t="s">
        <v>1803</v>
      </c>
      <c r="B19" s="352" t="s">
        <v>1804</v>
      </c>
      <c r="C19" s="2085" t="s">
        <v>3046</v>
      </c>
      <c r="D19" s="2086" t="s">
        <v>1805</v>
      </c>
      <c r="E19" s="2087"/>
      <c r="F19" s="2088" t="str">
        <f>IF(AND(C19="是",E19="否"),"是否提供他项权证或相关说明","")</f>
        <v/>
      </c>
      <c r="G19" s="2089"/>
      <c r="H19" s="2042"/>
      <c r="I19" s="2042"/>
      <c r="J19" s="2042"/>
      <c r="K19" s="2052"/>
      <c r="L19" s="2028"/>
      <c r="M19" s="2028"/>
      <c r="N19" s="2081"/>
      <c r="O19" s="2080"/>
      <c r="P19" s="2081"/>
      <c r="Q19" s="2029"/>
      <c r="R19" s="2029"/>
      <c r="S19" s="2029"/>
      <c r="T19" s="2029"/>
      <c r="U19" s="2029"/>
      <c r="V19" s="2029"/>
    </row>
    <row r="20" spans="1:22" ht="18" customHeight="1">
      <c r="A20" s="2090" t="s">
        <v>1806</v>
      </c>
      <c r="B20" s="3030" t="s">
        <v>1807</v>
      </c>
      <c r="C20" s="3031"/>
      <c r="D20" s="3032" t="s">
        <v>1808</v>
      </c>
      <c r="E20" s="3033"/>
      <c r="F20" s="2091" t="s">
        <v>1809</v>
      </c>
      <c r="G20" s="2042"/>
      <c r="H20" s="2042"/>
      <c r="I20" s="2042"/>
      <c r="J20" s="2042"/>
      <c r="K20" s="3029"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8"/>
      <c r="N20" s="2081"/>
      <c r="O20" s="2080"/>
      <c r="P20" s="2081"/>
      <c r="Q20" s="2029"/>
      <c r="R20" s="2029"/>
      <c r="S20" s="2029"/>
      <c r="T20" s="2029"/>
      <c r="U20" s="2029"/>
      <c r="V20" s="2029"/>
    </row>
    <row r="21" spans="1:22" ht="24.75" customHeight="1">
      <c r="A21" s="2090"/>
      <c r="B21" s="2092" t="s">
        <v>1811</v>
      </c>
      <c r="C21" s="2968" t="s">
        <v>3129</v>
      </c>
      <c r="D21" s="2969" t="s">
        <v>3069</v>
      </c>
      <c r="E21" s="2093" t="s">
        <v>3070</v>
      </c>
      <c r="F21" s="2094"/>
      <c r="G21" s="2042"/>
      <c r="H21" s="2042"/>
      <c r="I21" s="2042"/>
      <c r="J21" s="2042"/>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0"/>
      <c r="B22" s="2095" t="s">
        <v>1812</v>
      </c>
      <c r="C22" s="2968" t="s">
        <v>3065</v>
      </c>
      <c r="D22" s="2970"/>
      <c r="E22" s="2026"/>
      <c r="F22" s="2096"/>
      <c r="G22" s="2042"/>
      <c r="H22" s="2042"/>
      <c r="I22" s="2042"/>
      <c r="J22" s="2042"/>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097" t="s">
        <v>1813</v>
      </c>
      <c r="B23" s="183" t="s">
        <v>1814</v>
      </c>
      <c r="C23" s="2971">
        <v>42905</v>
      </c>
      <c r="D23" s="2972" t="s">
        <v>3130</v>
      </c>
      <c r="E23" s="2098"/>
      <c r="F23" s="2096"/>
      <c r="G23" s="2042"/>
      <c r="H23" s="2042"/>
      <c r="I23" s="2042"/>
      <c r="J23" s="2042"/>
      <c r="K23" s="2099"/>
      <c r="L23" s="748"/>
      <c r="M23" s="2028"/>
      <c r="N23" s="2081"/>
      <c r="O23" s="2080"/>
      <c r="P23" s="2081"/>
      <c r="Q23" s="2029"/>
      <c r="R23" s="2029"/>
      <c r="S23" s="2029"/>
      <c r="T23" s="2029"/>
      <c r="U23" s="2029"/>
      <c r="V23" s="2029"/>
    </row>
    <row r="24" spans="1:22" ht="18" customHeight="1">
      <c r="A24" s="2100"/>
      <c r="B24" s="183" t="s">
        <v>1815</v>
      </c>
      <c r="C24" s="2973" t="s">
        <v>3066</v>
      </c>
      <c r="D24" s="2974" t="s">
        <v>3131</v>
      </c>
      <c r="E24" s="2101"/>
      <c r="F24" s="2096"/>
      <c r="G24" s="2042"/>
      <c r="H24" s="2042"/>
      <c r="I24" s="2042"/>
      <c r="J24" s="2042"/>
      <c r="K24" s="2099"/>
      <c r="L24" s="748"/>
      <c r="M24" s="2028"/>
      <c r="N24" s="2081"/>
      <c r="O24" s="2080"/>
      <c r="P24" s="2081"/>
      <c r="Q24" s="2029"/>
      <c r="R24" s="2029"/>
      <c r="S24" s="2029"/>
      <c r="T24" s="2029"/>
      <c r="U24" s="2029"/>
      <c r="V24" s="2029"/>
    </row>
    <row r="25" spans="1:22" ht="18" customHeight="1">
      <c r="A25" s="2100"/>
      <c r="B25" s="183" t="s">
        <v>1816</v>
      </c>
      <c r="C25" s="2973" t="s">
        <v>3067</v>
      </c>
      <c r="D25" s="2974" t="s">
        <v>3132</v>
      </c>
      <c r="E25" s="2101"/>
      <c r="F25" s="2096"/>
      <c r="G25" s="2042"/>
      <c r="H25" s="2042"/>
      <c r="I25" s="2042"/>
      <c r="J25" s="2042"/>
      <c r="K25" s="2052"/>
      <c r="L25" s="2028"/>
      <c r="M25" s="2028"/>
      <c r="N25" s="2081"/>
      <c r="O25" s="2080"/>
      <c r="P25" s="2081"/>
      <c r="Q25" s="2029"/>
      <c r="R25" s="2029"/>
      <c r="S25" s="2029"/>
      <c r="T25" s="2029"/>
      <c r="U25" s="2029"/>
      <c r="V25" s="2029"/>
    </row>
    <row r="26" spans="1:22" ht="18" customHeight="1" thickBot="1">
      <c r="A26" s="2102"/>
      <c r="B26" s="2103" t="s">
        <v>1817</v>
      </c>
      <c r="C26" s="2975">
        <v>1200</v>
      </c>
      <c r="D26" s="2976" t="s">
        <v>3133</v>
      </c>
      <c r="E26" s="2104"/>
      <c r="F26" s="2105"/>
      <c r="G26" s="2060"/>
      <c r="H26" s="2060"/>
      <c r="I26" s="2060"/>
      <c r="J26" s="2042"/>
      <c r="K26" s="2052"/>
      <c r="L26" s="2028"/>
      <c r="M26" s="2028"/>
      <c r="N26" s="2081"/>
      <c r="O26" s="2080"/>
      <c r="P26" s="2081"/>
      <c r="Q26" s="2029"/>
      <c r="R26" s="2029"/>
      <c r="S26" s="2029"/>
      <c r="T26" s="2029"/>
      <c r="U26" s="2029"/>
      <c r="V26" s="2029"/>
    </row>
    <row r="27" spans="1:22" ht="18" customHeight="1" thickTop="1">
      <c r="A27" s="3047" t="s">
        <v>1818</v>
      </c>
      <c r="B27" s="2061" t="s">
        <v>1819</v>
      </c>
      <c r="C27" s="2106" t="s">
        <v>3047</v>
      </c>
      <c r="D27" s="210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47"/>
      <c r="B28" s="2035" t="s">
        <v>1820</v>
      </c>
      <c r="C28" s="2108"/>
      <c r="D28" s="2109"/>
      <c r="E28" s="2042"/>
      <c r="F28" s="2042"/>
      <c r="G28" s="2042"/>
      <c r="H28" s="2042"/>
      <c r="I28" s="2042"/>
      <c r="J28" s="2029"/>
      <c r="K28" s="2110"/>
      <c r="L28" s="2028"/>
      <c r="M28" s="2028"/>
      <c r="N28" s="2029"/>
      <c r="O28" s="2030"/>
      <c r="P28" s="2029"/>
      <c r="Q28" s="2029"/>
      <c r="R28" s="2029"/>
      <c r="S28" s="2029"/>
      <c r="T28" s="2029"/>
      <c r="U28" s="2029"/>
      <c r="V28" s="2029"/>
    </row>
    <row r="29" spans="1:22" ht="18" customHeight="1">
      <c r="A29" s="3047"/>
      <c r="B29" s="2035" t="s">
        <v>1821</v>
      </c>
      <c r="C29" s="2111"/>
      <c r="D29" s="2112"/>
      <c r="E29" s="2042"/>
      <c r="F29" s="2042"/>
      <c r="G29" s="2042"/>
      <c r="H29" s="2042"/>
      <c r="I29" s="2042"/>
      <c r="J29" s="2029"/>
      <c r="K29" s="2110"/>
      <c r="L29" s="2028"/>
      <c r="M29" s="2028"/>
      <c r="N29" s="2029"/>
      <c r="O29" s="2030"/>
      <c r="P29" s="2029"/>
      <c r="Q29" s="2029"/>
      <c r="R29" s="2029"/>
      <c r="S29" s="2029"/>
      <c r="T29" s="2029"/>
      <c r="U29" s="2029"/>
      <c r="V29" s="2029"/>
    </row>
    <row r="30" spans="1:22" ht="18" customHeight="1">
      <c r="A30" s="3048"/>
      <c r="B30" s="2035" t="s">
        <v>1822</v>
      </c>
      <c r="C30" s="3049"/>
      <c r="D30" s="3050"/>
      <c r="E30" s="2042"/>
      <c r="F30" s="2042"/>
      <c r="G30" s="2042"/>
      <c r="H30" s="2042"/>
      <c r="I30" s="2042"/>
      <c r="J30" s="2029"/>
      <c r="K30" s="2110"/>
      <c r="L30" s="2028"/>
      <c r="M30" s="2028"/>
      <c r="N30" s="2029"/>
      <c r="O30" s="2030"/>
      <c r="P30" s="2029"/>
      <c r="Q30" s="2029"/>
      <c r="R30" s="2029"/>
      <c r="S30" s="2029"/>
      <c r="T30" s="2029"/>
      <c r="U30" s="2029"/>
      <c r="V30" s="2029"/>
    </row>
    <row r="31" spans="1:22" ht="18" customHeight="1">
      <c r="A31" s="3051" t="s">
        <v>1823</v>
      </c>
      <c r="B31" s="2113" t="s">
        <v>3048</v>
      </c>
      <c r="C31" s="2114" t="str">
        <f>IF(B31="现房","成新及维护状况正常否",IF(B31="在建","工程状态是否正常",IF(B31="土地","是否闲置","-")))</f>
        <v>成新及维护状况正常否</v>
      </c>
      <c r="D31" s="2115"/>
      <c r="E31" s="2116"/>
      <c r="F31" s="2042"/>
      <c r="G31" s="2042"/>
      <c r="H31" s="2042"/>
      <c r="I31" s="2042"/>
      <c r="J31" s="2042"/>
      <c r="K31" s="2051"/>
      <c r="L31" s="2028"/>
      <c r="M31" s="2028"/>
      <c r="N31" s="2029"/>
      <c r="O31" s="2030"/>
      <c r="P31" s="2029"/>
      <c r="Q31" s="2029"/>
      <c r="R31" s="2029"/>
      <c r="S31" s="2029"/>
      <c r="T31" s="2029"/>
      <c r="U31" s="2029"/>
      <c r="V31" s="2029"/>
    </row>
    <row r="32" spans="1:22" ht="18" customHeight="1">
      <c r="A32" s="3052"/>
      <c r="B32" s="2113"/>
      <c r="C32" s="2114" t="str">
        <f>IF(B32="现房","成新及维护状况是否正常",IF(B32="在建","工程状态是否正常",IF(B32="土地","是否闲置","-")))</f>
        <v>-</v>
      </c>
      <c r="D32" s="2115"/>
      <c r="E32" s="2116"/>
      <c r="F32" s="2042"/>
      <c r="G32" s="2042"/>
      <c r="H32" s="2042"/>
      <c r="I32" s="2042"/>
      <c r="J32" s="2042"/>
      <c r="K32" s="2052"/>
      <c r="L32" s="2028"/>
      <c r="M32" s="2028"/>
      <c r="N32" s="2029"/>
      <c r="O32" s="2030"/>
      <c r="P32" s="2029"/>
      <c r="Q32" s="2029"/>
      <c r="R32" s="2029"/>
      <c r="S32" s="2029"/>
      <c r="T32" s="2029"/>
      <c r="U32" s="2029"/>
      <c r="V32" s="2029"/>
    </row>
    <row r="33" spans="1:22" ht="18" customHeight="1">
      <c r="A33" s="3052"/>
      <c r="B33" s="2117"/>
      <c r="C33" s="2067" t="str">
        <f>IF(B33="现房","成新及维护状况是否正常",IF(B33="在建","工程状态是否正常",IF(B33="土地","是否闲置","-")))</f>
        <v>-</v>
      </c>
      <c r="D33" s="2118"/>
      <c r="E33" s="211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1824</v>
      </c>
      <c r="B34" s="2120" t="s">
        <v>3049</v>
      </c>
      <c r="C34" s="2120" t="s">
        <v>3050</v>
      </c>
      <c r="D34" s="2120" t="s">
        <v>3051</v>
      </c>
      <c r="E34" s="2120" t="s">
        <v>3052</v>
      </c>
      <c r="F34" s="2120" t="s">
        <v>3053</v>
      </c>
      <c r="G34" s="2120" t="s">
        <v>70</v>
      </c>
      <c r="H34" s="2120" t="s">
        <v>70</v>
      </c>
      <c r="I34" s="2042"/>
      <c r="J34" s="2042"/>
      <c r="K34" s="1795">
        <f>COUNTIF(B34:H34,"——")</f>
        <v>2</v>
      </c>
      <c r="L34" s="2071" t="s">
        <v>1825</v>
      </c>
      <c r="M34" s="2071" t="s">
        <v>1826</v>
      </c>
      <c r="N34" s="2071" t="s">
        <v>1827</v>
      </c>
      <c r="O34" s="2071" t="s">
        <v>1828</v>
      </c>
      <c r="P34" s="2071" t="s">
        <v>1829</v>
      </c>
      <c r="Q34" s="2071" t="s">
        <v>1830</v>
      </c>
      <c r="R34" s="2071" t="s">
        <v>1831</v>
      </c>
      <c r="S34" s="3046" t="s">
        <v>1832</v>
      </c>
      <c r="T34" s="2121" t="str">
        <f>NUMBERSTRING(7-K34,1)&amp;"通"</f>
        <v>五通</v>
      </c>
      <c r="U34" s="2029"/>
      <c r="V34" s="2029"/>
    </row>
    <row r="35" spans="1:22" ht="18" customHeight="1">
      <c r="A35" s="2122"/>
      <c r="B35" s="3053" t="s">
        <v>1833</v>
      </c>
      <c r="C35" s="3053"/>
      <c r="D35" s="3053"/>
      <c r="E35" s="3053"/>
      <c r="F35" s="212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6"/>
      <c r="T35" s="48" t="str">
        <f>IF(T34="一通",L35,IF(T34="二通",M35,IF(T34="三通",N35,IF(T34="四通",O35,IF(T34="五通",P35,IF(T34="六通",Q35,R35))))))</f>
        <v>通路、通电、通讯、通上水、通下水</v>
      </c>
      <c r="U35" s="2029"/>
      <c r="V35" s="2029"/>
    </row>
    <row r="36" spans="1:22" ht="18" customHeight="1">
      <c r="A36" s="2124"/>
      <c r="B36" s="2123" t="s">
        <v>1834</v>
      </c>
      <c r="C36" s="2123" t="s">
        <v>1835</v>
      </c>
      <c r="D36" s="2123" t="s">
        <v>1836</v>
      </c>
      <c r="E36" s="2123" t="s">
        <v>1837</v>
      </c>
      <c r="F36" s="2125"/>
      <c r="G36" s="2042"/>
      <c r="H36" s="2042"/>
      <c r="I36" s="2042"/>
      <c r="J36" s="2042"/>
      <c r="K36" s="2052"/>
      <c r="L36" s="2028"/>
      <c r="M36" s="2028"/>
      <c r="N36" s="2029"/>
      <c r="O36" s="2030"/>
      <c r="P36" s="2029"/>
      <c r="Q36" s="2029"/>
      <c r="R36" s="2029"/>
      <c r="S36" s="2029"/>
      <c r="T36" s="2029"/>
      <c r="U36" s="2029"/>
      <c r="V36" s="2029"/>
    </row>
    <row r="37" spans="1:22" ht="18" customHeight="1">
      <c r="A37" s="2126" t="s">
        <v>1838</v>
      </c>
      <c r="B37" s="2127"/>
      <c r="C37" s="2127"/>
      <c r="D37" s="2127"/>
      <c r="E37" s="2127"/>
      <c r="F37" s="2125"/>
      <c r="G37" s="2042"/>
      <c r="H37" s="2042"/>
      <c r="I37" s="2042"/>
      <c r="J37" s="2042"/>
      <c r="K37" s="2052"/>
      <c r="L37" s="2028"/>
      <c r="M37" s="2028"/>
      <c r="N37" s="2029"/>
      <c r="O37" s="2030"/>
      <c r="P37" s="2029"/>
      <c r="Q37" s="2029"/>
      <c r="R37" s="2029"/>
      <c r="S37" s="2029"/>
      <c r="T37" s="2029"/>
      <c r="U37" s="2029"/>
      <c r="V37" s="2029"/>
    </row>
    <row r="38" spans="1:22" ht="18" customHeight="1" thickBot="1">
      <c r="A38" s="2128" t="s">
        <v>1839</v>
      </c>
      <c r="B38" s="2129"/>
      <c r="C38" s="2129"/>
      <c r="D38" s="2129"/>
      <c r="E38" s="2129"/>
      <c r="F38" s="2130"/>
      <c r="G38" s="2060"/>
      <c r="H38" s="2060"/>
      <c r="I38" s="2060"/>
      <c r="J38" s="2042"/>
      <c r="K38" s="2052"/>
      <c r="L38" s="2028"/>
      <c r="M38" s="2028"/>
      <c r="N38" s="2029"/>
      <c r="O38" s="2030"/>
      <c r="P38" s="2029"/>
      <c r="Q38" s="2029"/>
      <c r="R38" s="2029"/>
      <c r="S38" s="2029"/>
      <c r="T38" s="2029"/>
      <c r="U38" s="2029"/>
      <c r="V38" s="2029"/>
    </row>
    <row r="39" spans="1:22" s="2135" customFormat="1" ht="18" customHeight="1" thickTop="1" thickBot="1">
      <c r="A39" s="2131" t="s">
        <v>1840</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9"/>
      <c r="B40" s="2029"/>
      <c r="C40" s="2029"/>
      <c r="D40" s="2029"/>
      <c r="E40" s="2029"/>
      <c r="F40" s="2029"/>
      <c r="G40" s="2029"/>
      <c r="H40" s="2029"/>
      <c r="I40" s="2136"/>
      <c r="J40" s="2081"/>
      <c r="K40" s="666"/>
      <c r="L40" s="2080"/>
      <c r="M40" s="2080"/>
      <c r="N40" s="2081"/>
      <c r="O40" s="2080"/>
      <c r="P40" s="2029"/>
      <c r="Q40" s="2029"/>
      <c r="R40" s="2029"/>
      <c r="S40" s="2029"/>
      <c r="T40" s="2029"/>
      <c r="U40" s="2029"/>
      <c r="V40" s="2029"/>
    </row>
    <row r="41" spans="1:22" ht="18" customHeight="1">
      <c r="A41" s="8" t="s">
        <v>1841</v>
      </c>
      <c r="B41" s="2137"/>
      <c r="C41" s="2138"/>
      <c r="D41" s="2029"/>
      <c r="E41" s="2029"/>
      <c r="F41" s="2029"/>
      <c r="G41" s="2029"/>
      <c r="H41" s="2029"/>
      <c r="I41" s="2030"/>
      <c r="J41" s="2029"/>
      <c r="K41" s="2110"/>
      <c r="L41" s="2028"/>
      <c r="M41" s="2028"/>
      <c r="N41" s="2029"/>
      <c r="O41" s="2030"/>
      <c r="P41" s="2029"/>
      <c r="Q41" s="2029"/>
      <c r="R41" s="2029"/>
      <c r="S41" s="2029"/>
      <c r="T41" s="2029"/>
      <c r="U41" s="2029"/>
      <c r="V41" s="2029"/>
    </row>
    <row r="42" spans="1:22" ht="18" customHeight="1">
      <c r="A42" s="2071" t="s">
        <v>1842</v>
      </c>
      <c r="B42" s="1795" t="s">
        <v>1843</v>
      </c>
      <c r="C42" s="1795" t="s">
        <v>1844</v>
      </c>
      <c r="D42" s="1795" t="s">
        <v>1845</v>
      </c>
      <c r="E42" s="1795" t="s">
        <v>1846</v>
      </c>
      <c r="F42" s="1795" t="s">
        <v>1847</v>
      </c>
      <c r="G42" s="1795" t="s">
        <v>1848</v>
      </c>
      <c r="H42" s="1795" t="s">
        <v>1849</v>
      </c>
      <c r="I42" s="1795" t="s">
        <v>1850</v>
      </c>
      <c r="J42" s="2139" t="s">
        <v>1851</v>
      </c>
      <c r="K42" s="2072" t="s">
        <v>1852</v>
      </c>
      <c r="L42" s="2072" t="s">
        <v>1853</v>
      </c>
      <c r="M42" s="2072" t="s">
        <v>1854</v>
      </c>
      <c r="N42" s="1795" t="s">
        <v>1855</v>
      </c>
      <c r="O42" s="1795" t="s">
        <v>1856</v>
      </c>
      <c r="P42" s="1795" t="s">
        <v>1857</v>
      </c>
      <c r="Q42" s="2071" t="s">
        <v>1858</v>
      </c>
      <c r="R42" s="2071" t="s">
        <v>1859</v>
      </c>
      <c r="S42" s="2029"/>
      <c r="T42" s="2029"/>
      <c r="U42" s="2029"/>
      <c r="V42" s="2029"/>
    </row>
    <row r="43" spans="1:22" s="2144" customFormat="1" ht="18" customHeight="1">
      <c r="A43" s="2140"/>
      <c r="B43" s="1273"/>
      <c r="C43" s="1273"/>
      <c r="D43" s="1273"/>
      <c r="E43" s="1273"/>
      <c r="F43" s="1273"/>
      <c r="G43" s="1273"/>
      <c r="H43" s="9"/>
      <c r="I43" s="9"/>
      <c r="J43" s="2141"/>
      <c r="K43" s="2142"/>
      <c r="L43" s="2142"/>
      <c r="M43" s="9"/>
      <c r="N43" s="1273"/>
      <c r="O43" s="9"/>
      <c r="P43" s="1273"/>
      <c r="Q43" s="1273"/>
      <c r="R43" s="1273"/>
      <c r="S43" s="2143"/>
      <c r="T43" s="2143"/>
      <c r="U43" s="2143"/>
      <c r="V43" s="2143"/>
    </row>
    <row r="44" spans="1:22" s="2144" customFormat="1" ht="18" customHeight="1">
      <c r="A44" s="2140"/>
      <c r="B44" s="2140"/>
      <c r="C44" s="1273"/>
      <c r="D44" s="1273"/>
      <c r="E44" s="1273"/>
      <c r="F44" s="1273"/>
      <c r="G44" s="1273"/>
      <c r="H44" s="9"/>
      <c r="I44" s="9"/>
      <c r="J44" s="2141"/>
      <c r="K44" s="2142"/>
      <c r="L44" s="2142"/>
      <c r="M44" s="9"/>
      <c r="N44" s="1273"/>
      <c r="O44" s="9"/>
      <c r="P44" s="1273"/>
      <c r="Q44" s="1273"/>
      <c r="R44" s="1273"/>
      <c r="S44" s="2143"/>
      <c r="T44" s="2143"/>
      <c r="U44" s="2143"/>
      <c r="V44" s="2143"/>
    </row>
    <row r="45" spans="1:22" s="2144" customFormat="1" ht="18" customHeight="1">
      <c r="A45" s="2140"/>
      <c r="B45" s="2140"/>
      <c r="C45" s="1273"/>
      <c r="D45" s="1273"/>
      <c r="E45" s="1273"/>
      <c r="F45" s="1273"/>
      <c r="G45" s="1273"/>
      <c r="H45" s="9"/>
      <c r="I45" s="9"/>
      <c r="J45" s="2141"/>
      <c r="K45" s="2142"/>
      <c r="L45" s="2142"/>
      <c r="M45" s="9"/>
      <c r="N45" s="1273"/>
      <c r="O45" s="9"/>
      <c r="P45" s="1273"/>
      <c r="Q45" s="1273"/>
      <c r="R45" s="1273"/>
      <c r="S45" s="2143"/>
      <c r="T45" s="2143"/>
      <c r="U45" s="2143"/>
      <c r="V45" s="2143"/>
    </row>
    <row r="46" spans="1:22" s="2144" customFormat="1" ht="18" customHeight="1">
      <c r="A46" s="2140"/>
      <c r="B46" s="2140"/>
      <c r="C46" s="1273"/>
      <c r="D46" s="1273"/>
      <c r="E46" s="1273"/>
      <c r="F46" s="1273"/>
      <c r="G46" s="1273"/>
      <c r="H46" s="9"/>
      <c r="I46" s="9"/>
      <c r="J46" s="2141"/>
      <c r="K46" s="2142"/>
      <c r="L46" s="2142"/>
      <c r="M46" s="9"/>
      <c r="N46" s="1273"/>
      <c r="O46" s="9"/>
      <c r="P46" s="1273"/>
      <c r="Q46" s="1273"/>
      <c r="R46" s="1273"/>
      <c r="S46" s="2143"/>
      <c r="T46" s="2143"/>
      <c r="U46" s="2143"/>
      <c r="V46" s="2143"/>
    </row>
    <row r="47" spans="1:22" s="2144" customFormat="1" ht="18" customHeight="1">
      <c r="A47" s="2140"/>
      <c r="B47" s="2140"/>
      <c r="C47" s="1273"/>
      <c r="D47" s="1273"/>
      <c r="E47" s="1273"/>
      <c r="F47" s="1273"/>
      <c r="G47" s="1273"/>
      <c r="H47" s="9"/>
      <c r="I47" s="9"/>
      <c r="J47" s="2141"/>
      <c r="K47" s="2142"/>
      <c r="L47" s="2142"/>
      <c r="M47" s="9"/>
      <c r="N47" s="1273"/>
      <c r="O47" s="9"/>
      <c r="P47" s="1273"/>
      <c r="Q47" s="1273"/>
      <c r="R47" s="1273"/>
      <c r="S47" s="2143"/>
      <c r="T47" s="2143"/>
      <c r="U47" s="2143"/>
      <c r="V47" s="2143"/>
    </row>
    <row r="48" spans="1:22" s="2144" customFormat="1" ht="18" customHeight="1">
      <c r="A48" s="2140"/>
      <c r="B48" s="2140"/>
      <c r="C48" s="1273"/>
      <c r="D48" s="1273"/>
      <c r="E48" s="1273"/>
      <c r="F48" s="1273"/>
      <c r="G48" s="1273"/>
      <c r="H48" s="9"/>
      <c r="I48" s="9"/>
      <c r="J48" s="2141"/>
      <c r="K48" s="2142"/>
      <c r="L48" s="2142"/>
      <c r="M48" s="9"/>
      <c r="N48" s="1273"/>
      <c r="O48" s="9"/>
      <c r="P48" s="1273"/>
      <c r="Q48" s="1273"/>
      <c r="R48" s="1273"/>
      <c r="S48" s="2143"/>
      <c r="T48" s="2143"/>
      <c r="U48" s="2143"/>
      <c r="V48" s="2143"/>
    </row>
    <row r="49" spans="1:22" s="2144" customFormat="1" ht="18" customHeight="1">
      <c r="A49" s="2140"/>
      <c r="B49" s="2140"/>
      <c r="C49" s="1273"/>
      <c r="D49" s="1273"/>
      <c r="E49" s="1273"/>
      <c r="F49" s="1273"/>
      <c r="G49" s="1273"/>
      <c r="H49" s="9"/>
      <c r="I49" s="9"/>
      <c r="J49" s="2141"/>
      <c r="K49" s="2142"/>
      <c r="L49" s="2142"/>
      <c r="M49" s="9"/>
      <c r="N49" s="1273"/>
      <c r="O49" s="9"/>
      <c r="P49" s="1273"/>
      <c r="Q49" s="1273"/>
      <c r="R49" s="1273"/>
      <c r="S49" s="2143"/>
      <c r="T49" s="2143"/>
      <c r="U49" s="2143"/>
      <c r="V49" s="2143"/>
    </row>
    <row r="50" spans="1:22" s="2144" customFormat="1" ht="18" customHeight="1">
      <c r="A50" s="2140"/>
      <c r="B50" s="2140"/>
      <c r="C50" s="1273"/>
      <c r="D50" s="1273"/>
      <c r="E50" s="1273"/>
      <c r="F50" s="1273"/>
      <c r="G50" s="1273"/>
      <c r="H50" s="9"/>
      <c r="I50" s="9"/>
      <c r="J50" s="2141"/>
      <c r="K50" s="2142"/>
      <c r="L50" s="2142"/>
      <c r="M50" s="9"/>
      <c r="N50" s="1273"/>
      <c r="O50" s="9"/>
      <c r="P50" s="1273"/>
      <c r="Q50" s="1273"/>
      <c r="R50" s="1273"/>
      <c r="S50" s="2143"/>
      <c r="T50" s="2143"/>
      <c r="U50" s="2143"/>
      <c r="V50" s="2143"/>
    </row>
    <row r="51" spans="1:22" s="2144" customFormat="1" ht="18" customHeight="1">
      <c r="A51" s="2140"/>
      <c r="B51" s="2140"/>
      <c r="C51" s="1273"/>
      <c r="D51" s="1273"/>
      <c r="E51" s="1273"/>
      <c r="F51" s="1273"/>
      <c r="G51" s="1273"/>
      <c r="H51" s="9"/>
      <c r="I51" s="9"/>
      <c r="J51" s="2141"/>
      <c r="K51" s="2142"/>
      <c r="L51" s="2142"/>
      <c r="M51" s="9"/>
      <c r="N51" s="1273"/>
      <c r="O51" s="9"/>
      <c r="P51" s="1273"/>
      <c r="Q51" s="1273"/>
      <c r="R51" s="1273"/>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E24" sqref="AE24"/>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hidden="1" customWidth="1"/>
    <col min="12" max="14" width="9.5" style="2146" hidden="1" customWidth="1"/>
    <col min="15" max="15" width="9.875" style="2146" hidden="1" customWidth="1"/>
    <col min="16" max="16" width="9.75" style="2146" hidden="1"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0"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54" customFormat="1" ht="24">
      <c r="A2" s="11" t="s">
        <v>1862</v>
      </c>
      <c r="B2" s="11" t="s">
        <v>1863</v>
      </c>
      <c r="C2" s="11" t="s">
        <v>1864</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70" t="s">
        <v>1865</v>
      </c>
      <c r="AZ2" s="1271" t="s">
        <v>1866</v>
      </c>
      <c r="BA2" s="11" t="s">
        <v>1867</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1000.01</v>
      </c>
      <c r="B3" s="14">
        <f>IF(C3="否",G5-AT5,G5)</f>
        <v>1812.99</v>
      </c>
      <c r="C3" s="2155" t="s">
        <v>1868</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72"/>
      <c r="AZ3" s="1273"/>
      <c r="BA3" s="1274"/>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1869</v>
      </c>
      <c r="B5" s="1803"/>
      <c r="C5" s="1803"/>
      <c r="D5" s="1806"/>
      <c r="E5" s="16" t="s">
        <v>1</v>
      </c>
      <c r="F5" s="16">
        <f>SUM(F13:F587)</f>
        <v>0</v>
      </c>
      <c r="G5" s="16">
        <f>SUM(G13:G587)</f>
        <v>1812.99</v>
      </c>
      <c r="H5" s="16">
        <f t="shared" ref="H5:AT5" si="0">SUM(H13:H656)</f>
        <v>1812.99</v>
      </c>
      <c r="I5" s="16">
        <f t="shared" si="0"/>
        <v>1812.99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1812.99</v>
      </c>
      <c r="BA5" s="18">
        <f t="shared" si="1"/>
        <v>1812.99</v>
      </c>
      <c r="BB5" s="18">
        <f t="shared" si="1"/>
        <v>1812.99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1870</v>
      </c>
      <c r="B6" s="2161"/>
      <c r="C6" s="2161"/>
      <c r="D6" s="2162"/>
      <c r="E6" s="16">
        <f>H6+AC6+AT6</f>
        <v>1000.01</v>
      </c>
      <c r="F6" s="16" t="s">
        <v>1</v>
      </c>
      <c r="G6" s="16" t="s">
        <v>2</v>
      </c>
      <c r="H6" s="20">
        <f>SUMIF(I$12:AB$12,"总值",I6:AB6)</f>
        <v>1000.01</v>
      </c>
      <c r="I6" s="16">
        <f t="shared" ref="I6:AB6" si="2">ROUND($A$3*I5/$B$3,2)</f>
        <v>1000.01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1870</v>
      </c>
      <c r="AW6" s="2161"/>
      <c r="AX6" s="2161"/>
      <c r="AY6" s="21">
        <f>IF(AY3&gt;0,AY3,ROUND($A$3*AZ5/$B$3,2))</f>
        <v>1000.01</v>
      </c>
      <c r="AZ6" s="16" t="s">
        <v>3</v>
      </c>
      <c r="BA6" s="16">
        <f>ROUND($AY$6*BA5/$AZ$5,2)</f>
        <v>1000.01</v>
      </c>
      <c r="BB6" s="16">
        <f>ROUND($AY$6*BB5/$AZ$5,2)</f>
        <v>1000.01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9" t="s">
        <v>1871</v>
      </c>
      <c r="B7" s="2099" t="s">
        <v>1872</v>
      </c>
      <c r="C7" s="2099" t="s">
        <v>1873</v>
      </c>
      <c r="D7" s="2099" t="s">
        <v>1874</v>
      </c>
      <c r="E7" s="2099" t="s">
        <v>1875</v>
      </c>
      <c r="F7" s="2099" t="s">
        <v>1876</v>
      </c>
      <c r="G7" s="2165" t="s">
        <v>1877</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806"/>
      <c r="AU7" s="2166" t="s">
        <v>1878</v>
      </c>
      <c r="AV7" s="23" t="s">
        <v>1879</v>
      </c>
      <c r="AW7" s="2153" t="s">
        <v>1880</v>
      </c>
      <c r="AX7" s="23" t="s">
        <v>1873</v>
      </c>
      <c r="AY7" s="1803" t="s">
        <v>1881</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1882</v>
      </c>
      <c r="H8" s="2171" t="s">
        <v>1883</v>
      </c>
      <c r="I8" s="2172"/>
      <c r="J8" s="1818"/>
      <c r="K8" s="1818"/>
      <c r="L8" s="1818"/>
      <c r="M8" s="1818"/>
      <c r="N8" s="1818"/>
      <c r="O8" s="1818"/>
      <c r="P8" s="1818"/>
      <c r="Q8" s="1818"/>
      <c r="R8" s="1818"/>
      <c r="S8" s="1818"/>
      <c r="T8" s="1818"/>
      <c r="U8" s="1818"/>
      <c r="V8" s="2173"/>
      <c r="W8" s="1818"/>
      <c r="X8" s="1818"/>
      <c r="Y8" s="1818"/>
      <c r="Z8" s="1818"/>
      <c r="AA8" s="2173"/>
      <c r="AB8" s="2174"/>
      <c r="AC8" s="984" t="s">
        <v>1884</v>
      </c>
      <c r="AD8" s="2175"/>
      <c r="AE8" s="2167"/>
      <c r="AF8" s="1818"/>
      <c r="AG8" s="1818"/>
      <c r="AH8" s="1818"/>
      <c r="AI8" s="1818"/>
      <c r="AJ8" s="1818"/>
      <c r="AK8" s="1818"/>
      <c r="AL8" s="1818"/>
      <c r="AM8" s="1818"/>
      <c r="AN8" s="1818"/>
      <c r="AO8" s="1818"/>
      <c r="AP8" s="1818"/>
      <c r="AQ8" s="1818"/>
      <c r="AR8" s="1818"/>
      <c r="AS8" s="1818"/>
      <c r="AT8" s="1293" t="s">
        <v>1885</v>
      </c>
      <c r="AU8" s="2169" t="s">
        <v>1886</v>
      </c>
      <c r="AV8" s="1293"/>
      <c r="AW8" s="2152"/>
      <c r="AX8" s="1293"/>
      <c r="AY8" s="2153"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76" customFormat="1" ht="12.75">
      <c r="A9" s="2169"/>
      <c r="B9" s="2169"/>
      <c r="C9" s="2169"/>
      <c r="D9" s="2169"/>
      <c r="E9" s="2169"/>
      <c r="F9" s="2169"/>
      <c r="G9" s="1293"/>
      <c r="H9" s="2177" t="s">
        <v>1889</v>
      </c>
      <c r="I9" s="2178" t="s">
        <v>3054</v>
      </c>
      <c r="J9" s="984"/>
      <c r="K9" s="2178"/>
      <c r="L9" s="984"/>
      <c r="M9" s="2178"/>
      <c r="N9" s="984"/>
      <c r="O9" s="2178"/>
      <c r="P9" s="984"/>
      <c r="Q9" s="2178"/>
      <c r="R9" s="984"/>
      <c r="S9" s="2178"/>
      <c r="T9" s="984"/>
      <c r="U9" s="2178"/>
      <c r="V9" s="984"/>
      <c r="W9" s="2178"/>
      <c r="X9" s="2179"/>
      <c r="Y9" s="2178"/>
      <c r="Z9" s="984"/>
      <c r="AA9" s="2178"/>
      <c r="AB9" s="984"/>
      <c r="AC9" s="2170"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80"/>
      <c r="AT9" s="2169"/>
      <c r="AU9" s="2169" t="s">
        <v>1892</v>
      </c>
      <c r="AV9" s="1293"/>
      <c r="AW9" s="2152"/>
      <c r="AX9" s="1293"/>
      <c r="AY9" s="28"/>
      <c r="AZ9" s="28" t="s">
        <v>1882</v>
      </c>
      <c r="BA9" s="2181" t="s">
        <v>1893</v>
      </c>
      <c r="BB9" s="2182"/>
      <c r="BC9" s="1339"/>
      <c r="BD9" s="1339"/>
      <c r="BE9" s="1339"/>
      <c r="BF9" s="1339"/>
      <c r="BG9" s="1339"/>
      <c r="BH9" s="1339"/>
      <c r="BI9" s="1339"/>
      <c r="BJ9" s="1339"/>
      <c r="BK9" s="2183"/>
      <c r="BL9" s="15" t="s">
        <v>1894</v>
      </c>
      <c r="BM9" s="1818"/>
      <c r="BN9" s="2172"/>
      <c r="BO9" s="1818"/>
      <c r="BP9" s="1818"/>
      <c r="BQ9" s="1818"/>
      <c r="BR9" s="1818"/>
      <c r="BS9" s="1818"/>
      <c r="BT9" s="26"/>
    </row>
    <row r="10" spans="1:72" s="2176" customFormat="1" ht="12.75">
      <c r="A10" s="2169"/>
      <c r="B10" s="2169"/>
      <c r="C10" s="2169"/>
      <c r="D10" s="2169"/>
      <c r="E10" s="2169"/>
      <c r="F10" s="2169"/>
      <c r="G10" s="1293"/>
      <c r="H10" s="28"/>
      <c r="I10" s="2178" t="s">
        <v>6</v>
      </c>
      <c r="J10" s="984"/>
      <c r="K10" s="2184"/>
      <c r="L10" s="984"/>
      <c r="M10" s="2184"/>
      <c r="N10" s="984"/>
      <c r="O10" s="2184"/>
      <c r="P10" s="984"/>
      <c r="Q10" s="2184"/>
      <c r="R10" s="984"/>
      <c r="S10" s="2184"/>
      <c r="T10" s="984"/>
      <c r="U10" s="2184"/>
      <c r="V10" s="984"/>
      <c r="W10" s="2184"/>
      <c r="X10" s="984"/>
      <c r="Y10" s="2184"/>
      <c r="Z10" s="984"/>
      <c r="AA10" s="2184"/>
      <c r="AB10" s="984"/>
      <c r="AC10" s="1293"/>
      <c r="AD10" s="15" t="s">
        <v>1895</v>
      </c>
      <c r="AE10" s="2185"/>
      <c r="AF10" s="15" t="s">
        <v>1895</v>
      </c>
      <c r="AG10" s="2185"/>
      <c r="AH10" s="15" t="s">
        <v>1896</v>
      </c>
      <c r="AI10" s="2185"/>
      <c r="AJ10" s="15" t="s">
        <v>1896</v>
      </c>
      <c r="AK10" s="2185"/>
      <c r="AL10" s="15" t="s">
        <v>1897</v>
      </c>
      <c r="AM10" s="1299"/>
      <c r="AN10" s="15" t="s">
        <v>1897</v>
      </c>
      <c r="AO10" s="1299"/>
      <c r="AP10" s="15" t="s">
        <v>1898</v>
      </c>
      <c r="AQ10" s="1299"/>
      <c r="AR10" s="15" t="s">
        <v>1898</v>
      </c>
      <c r="AS10" s="1299"/>
      <c r="AT10" s="2169"/>
      <c r="AU10" s="2169"/>
      <c r="AV10" s="1293"/>
      <c r="AW10" s="2152"/>
      <c r="AX10" s="1293"/>
      <c r="AY10" s="28"/>
      <c r="AZ10" s="28"/>
      <c r="BA10" s="2186" t="s">
        <v>1889</v>
      </c>
      <c r="BB10" s="2187"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88" t="str">
        <f>AR9</f>
        <v>地下</v>
      </c>
    </row>
    <row r="11" spans="1:72" s="2176" customFormat="1" ht="12.75">
      <c r="A11" s="2169"/>
      <c r="B11" s="2169"/>
      <c r="C11" s="2169"/>
      <c r="D11" s="2169"/>
      <c r="E11" s="2169"/>
      <c r="F11" s="2169"/>
      <c r="G11" s="1293"/>
      <c r="H11" s="2186"/>
      <c r="I11" s="2189" t="s">
        <v>3055</v>
      </c>
      <c r="J11" s="2190"/>
      <c r="K11" s="2189"/>
      <c r="L11" s="2190"/>
      <c r="M11" s="2189"/>
      <c r="N11" s="2190"/>
      <c r="O11" s="2189"/>
      <c r="P11" s="2190"/>
      <c r="Q11" s="2189"/>
      <c r="R11" s="2190"/>
      <c r="S11" s="2189"/>
      <c r="T11" s="2190"/>
      <c r="U11" s="2189"/>
      <c r="V11" s="2190"/>
      <c r="W11" s="2189"/>
      <c r="X11" s="2190"/>
      <c r="Y11" s="2189"/>
      <c r="Z11" s="2190"/>
      <c r="AA11" s="2189"/>
      <c r="AB11" s="2190"/>
      <c r="AC11" s="1293"/>
      <c r="AD11" s="2191" t="s">
        <v>1899</v>
      </c>
      <c r="AE11" s="1819"/>
      <c r="AF11" s="2191" t="s">
        <v>1899</v>
      </c>
      <c r="AG11" s="1819"/>
      <c r="AH11" s="2191" t="s">
        <v>1900</v>
      </c>
      <c r="AI11" s="2192"/>
      <c r="AJ11" s="2191" t="s">
        <v>1900</v>
      </c>
      <c r="AK11" s="1819"/>
      <c r="AL11" s="1817"/>
      <c r="AM11" s="1819"/>
      <c r="AN11" s="1817"/>
      <c r="AO11" s="1819"/>
      <c r="AP11" s="1817"/>
      <c r="AQ11" s="1819"/>
      <c r="AR11" s="1817"/>
      <c r="AS11" s="1819"/>
      <c r="AT11" s="2152"/>
      <c r="AU11" s="2169"/>
      <c r="AV11" s="1293"/>
      <c r="AW11" s="2152"/>
      <c r="AX11" s="1293"/>
      <c r="AY11" s="28"/>
      <c r="AZ11" s="28"/>
      <c r="BA11" s="28"/>
      <c r="BB11" s="2174" t="str">
        <f>I10</f>
        <v>工业</v>
      </c>
      <c r="BC11" s="2174">
        <f>K10</f>
        <v>0</v>
      </c>
      <c r="BD11" s="2174">
        <f>M10</f>
        <v>0</v>
      </c>
      <c r="BE11" s="2174">
        <f>O10</f>
        <v>0</v>
      </c>
      <c r="BF11" s="2174">
        <f>Q10</f>
        <v>0</v>
      </c>
      <c r="BG11" s="2174">
        <f>S10</f>
        <v>0</v>
      </c>
      <c r="BH11" s="2174">
        <f>U10</f>
        <v>0</v>
      </c>
      <c r="BI11" s="2174">
        <f>W10</f>
        <v>0</v>
      </c>
      <c r="BJ11" s="2174">
        <f>Y10</f>
        <v>0</v>
      </c>
      <c r="BK11" s="2174">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19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4" t="s">
        <v>1902</v>
      </c>
      <c r="AT12" s="2197"/>
      <c r="AU12" s="2194"/>
      <c r="AV12" s="31"/>
      <c r="AW12" s="2153"/>
      <c r="AX12" s="31"/>
      <c r="AY12" s="2198"/>
      <c r="AZ12" s="28"/>
      <c r="BA12" s="2186"/>
      <c r="BB12" s="24" t="str">
        <f>I11</f>
        <v>办公楼</v>
      </c>
      <c r="BC12" s="2199">
        <f>K11</f>
        <v>0</v>
      </c>
      <c r="BD12" s="2199">
        <f>M11</f>
        <v>0</v>
      </c>
      <c r="BE12" s="2174">
        <f>O11</f>
        <v>0</v>
      </c>
      <c r="BF12" s="2174">
        <f>Q11</f>
        <v>0</v>
      </c>
      <c r="BG12" s="2174">
        <f>S11</f>
        <v>0</v>
      </c>
      <c r="BH12" s="2174">
        <f>U11</f>
        <v>0</v>
      </c>
      <c r="BI12" s="2174">
        <f>W11</f>
        <v>0</v>
      </c>
      <c r="BJ12" s="2174">
        <f>Y11</f>
        <v>0</v>
      </c>
      <c r="BK12" s="2174">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193">
        <f>AR11</f>
        <v>0</v>
      </c>
    </row>
    <row r="13" spans="1:72" s="2154" customFormat="1" ht="12.75">
      <c r="A13" s="1273"/>
      <c r="B13" s="1273"/>
      <c r="C13" s="1273" t="s">
        <v>3068</v>
      </c>
      <c r="D13" s="2200" t="s">
        <v>3046</v>
      </c>
      <c r="E13" s="16">
        <f>IF($C$3="是",ROUND($A$3*G13/$B$3,2),ROUND($A$3*(G13-AT13)/$B$3,2))</f>
        <v>1000.01</v>
      </c>
      <c r="F13" s="32"/>
      <c r="G13" s="33">
        <f>H13+AC13+AT13</f>
        <v>1812.99</v>
      </c>
      <c r="H13" s="20">
        <f>SUMIF(I$12:AB$12,"总值",I13:AB13)</f>
        <v>1812.99</v>
      </c>
      <c r="I13" s="2201">
        <v>1812.99</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28号楼</v>
      </c>
      <c r="AY13" s="1806">
        <f>ROUND($AY$6*AZ13/$AZ$5,2)</f>
        <v>1000.01</v>
      </c>
      <c r="AZ13" s="16">
        <f>BA13+BL13</f>
        <v>1812.99</v>
      </c>
      <c r="BA13" s="16">
        <f>SUM(BB13:BK13)</f>
        <v>1812.99</v>
      </c>
      <c r="BB13" s="16">
        <f>IF($D13="是",I13-J13,0)</f>
        <v>1812.99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73"/>
      <c r="B14" s="1273"/>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73"/>
      <c r="B15" s="1273"/>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73"/>
      <c r="B16" s="1273"/>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73"/>
      <c r="B17" s="1273"/>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1928</v>
      </c>
      <c r="B1" s="1393"/>
      <c r="C1" s="1393"/>
      <c r="D1" s="1393"/>
      <c r="E1" s="1393"/>
      <c r="F1" s="1393"/>
      <c r="G1" s="1393"/>
      <c r="H1" s="1393"/>
      <c r="I1" s="1393"/>
      <c r="J1" s="1393"/>
      <c r="K1" s="1393"/>
      <c r="L1" s="1393"/>
      <c r="M1" s="1393"/>
      <c r="N1" s="1393"/>
      <c r="O1" s="1393"/>
      <c r="P1" s="1393"/>
    </row>
    <row r="2" spans="1:16" ht="15">
      <c r="A2" s="3065" t="s">
        <v>1929</v>
      </c>
      <c r="B2" s="3065"/>
      <c r="C2" s="3065"/>
      <c r="D2" s="970" t="s">
        <v>1905</v>
      </c>
      <c r="E2" s="2214" t="s">
        <v>1906</v>
      </c>
      <c r="F2" s="1393"/>
      <c r="G2" s="2215"/>
      <c r="H2" s="2216"/>
      <c r="I2" s="2217" t="s">
        <v>1930</v>
      </c>
      <c r="J2" s="1393"/>
      <c r="K2" s="1393"/>
      <c r="L2" s="1393"/>
      <c r="M2" s="1393"/>
      <c r="N2" s="1428"/>
      <c r="O2" s="1393"/>
      <c r="P2" s="1393"/>
    </row>
    <row r="3" spans="1:16" ht="15.75" thickBot="1">
      <c r="A3" s="3066" t="s">
        <v>1903</v>
      </c>
      <c r="B3" s="3066"/>
      <c r="C3" s="3066"/>
      <c r="D3" s="46">
        <f>'数据-基础表'!AY6</f>
        <v>1000.01</v>
      </c>
      <c r="E3" s="46">
        <f>'数据-基础表'!AZ5</f>
        <v>1812.99</v>
      </c>
      <c r="F3" s="1393"/>
      <c r="G3" s="1400"/>
      <c r="H3" s="1248" t="s">
        <v>1904</v>
      </c>
      <c r="I3" s="55">
        <f>ROUND('数据-基础表'!B3/'数据-基础表'!A3,2)</f>
        <v>1.81</v>
      </c>
      <c r="J3" s="1393"/>
      <c r="K3" s="1393"/>
      <c r="L3" s="1393"/>
      <c r="M3" s="1393"/>
      <c r="N3" s="1428"/>
      <c r="O3" s="1393"/>
      <c r="P3" s="1393"/>
    </row>
    <row r="4" spans="1:16" ht="15">
      <c r="A4" s="3067"/>
      <c r="B4" s="3068"/>
      <c r="C4" s="3069"/>
      <c r="D4" s="2218" t="s">
        <v>1905</v>
      </c>
      <c r="E4" s="2219" t="s">
        <v>1906</v>
      </c>
      <c r="F4" s="1393"/>
      <c r="G4" s="2220" t="s">
        <v>1931</v>
      </c>
      <c r="H4" s="1248" t="s">
        <v>1911</v>
      </c>
      <c r="I4" s="55">
        <f>ROUND(SUMIF('数据-基础表'!I9:AS9,"地上",'数据-基础表'!I5:AS5)/'数据-基础表'!A3,2)</f>
        <v>1.81</v>
      </c>
      <c r="J4" s="1393"/>
      <c r="K4" s="1393"/>
      <c r="L4" s="1393"/>
      <c r="M4" s="1393"/>
      <c r="N4" s="1428"/>
      <c r="O4" s="1393"/>
      <c r="P4" s="1393"/>
    </row>
    <row r="5" spans="1:16">
      <c r="A5" s="47" t="s">
        <v>1907</v>
      </c>
      <c r="B5" s="3070" t="s">
        <v>1908</v>
      </c>
      <c r="C5" s="3070"/>
      <c r="D5" s="48">
        <f>ROUND($D$3*E5/$E$3,2)</f>
        <v>0</v>
      </c>
      <c r="E5" s="49">
        <f>SUMIF('数据-基础表'!$11:$11,"住宅",'数据-基础表'!$5:$5)</f>
        <v>0</v>
      </c>
      <c r="F5" s="1393"/>
      <c r="G5" s="1400"/>
      <c r="H5" s="1248" t="s">
        <v>1904</v>
      </c>
      <c r="I5" s="55">
        <f>ROUND(E31/D31,2)</f>
        <v>1.81</v>
      </c>
      <c r="J5" s="1393"/>
      <c r="K5" s="1393"/>
      <c r="L5" s="1393"/>
      <c r="M5" s="1393"/>
      <c r="N5" s="1393"/>
      <c r="O5" s="1393"/>
      <c r="P5" s="1393"/>
    </row>
    <row r="6" spans="1:16" ht="15" thickBot="1">
      <c r="A6" s="2221"/>
      <c r="B6" s="3070" t="s">
        <v>1909</v>
      </c>
      <c r="C6" s="3070"/>
      <c r="D6" s="48">
        <f>ROUND($D$3*E6/$E$3,2)</f>
        <v>1000.01</v>
      </c>
      <c r="E6" s="49">
        <f>E3-E5</f>
        <v>1812.99</v>
      </c>
      <c r="F6" s="1393"/>
      <c r="G6" s="2222" t="s">
        <v>1910</v>
      </c>
      <c r="H6" s="1400" t="s">
        <v>1911</v>
      </c>
      <c r="I6" s="942">
        <f>ROUND(F31/D31,2)</f>
        <v>1.81</v>
      </c>
      <c r="J6" s="1393"/>
      <c r="K6" s="1393"/>
      <c r="L6" s="1393"/>
      <c r="M6" s="1393"/>
      <c r="N6" s="1393"/>
      <c r="O6" s="1393"/>
      <c r="P6" s="1393"/>
    </row>
    <row r="7" spans="1:16" ht="15">
      <c r="A7" s="3062"/>
      <c r="B7" s="3063"/>
      <c r="C7" s="3064"/>
      <c r="D7" s="2218" t="s">
        <v>1905</v>
      </c>
      <c r="E7" s="2223" t="s">
        <v>1912</v>
      </c>
      <c r="F7" s="1393"/>
      <c r="G7" s="2215" t="s">
        <v>1913</v>
      </c>
      <c r="H7" s="64"/>
      <c r="I7" s="420"/>
      <c r="J7" s="1393"/>
      <c r="K7" s="1393"/>
      <c r="L7" s="1393"/>
      <c r="M7" s="1393"/>
      <c r="N7" s="1393"/>
      <c r="O7" s="1393"/>
      <c r="P7" s="1393"/>
    </row>
    <row r="8" spans="1:16">
      <c r="A8" s="47" t="s">
        <v>1914</v>
      </c>
      <c r="B8" s="50" t="s">
        <v>1915</v>
      </c>
      <c r="C8" s="48" t="s">
        <v>1916</v>
      </c>
      <c r="D8" s="48">
        <f t="shared" ref="D8:D15" si="0">ROUND($D$3*E8/$E$3,2)</f>
        <v>1000.01</v>
      </c>
      <c r="E8" s="51">
        <f>SUMIF('数据-基础表'!BB10:BK10,"地上",'数据-基础表'!BB5:BK5)</f>
        <v>1812.99</v>
      </c>
      <c r="F8" s="1393"/>
      <c r="G8" s="2224"/>
      <c r="H8" s="2224"/>
      <c r="I8" s="1393"/>
      <c r="J8" s="1393"/>
      <c r="K8" s="1393"/>
      <c r="L8" s="1393"/>
      <c r="M8" s="1393"/>
      <c r="N8" s="1393"/>
      <c r="O8" s="1393"/>
      <c r="P8" s="1393"/>
    </row>
    <row r="9" spans="1:16">
      <c r="A9" s="2225"/>
      <c r="B9" s="2226"/>
      <c r="C9" s="48" t="s">
        <v>1917</v>
      </c>
      <c r="D9" s="48">
        <f t="shared" si="0"/>
        <v>0</v>
      </c>
      <c r="E9" s="52">
        <v>0</v>
      </c>
      <c r="F9" s="1393"/>
      <c r="G9" s="2224"/>
      <c r="H9" s="2224"/>
      <c r="I9" s="1393"/>
      <c r="J9" s="1393"/>
      <c r="K9" s="1393"/>
      <c r="L9" s="1393"/>
      <c r="M9" s="1393"/>
      <c r="N9" s="1393"/>
      <c r="O9" s="1393"/>
      <c r="P9" s="1393"/>
    </row>
    <row r="10" spans="1:16">
      <c r="A10" s="2225"/>
      <c r="B10" s="2226"/>
      <c r="C10" s="48" t="s">
        <v>1926</v>
      </c>
      <c r="D10" s="48">
        <f t="shared" si="0"/>
        <v>0</v>
      </c>
      <c r="E10" s="51">
        <f>SUMPRODUCT(('数据-基础表'!BB10:BK10="地下")*('数据-基础表'!BB11:BK11="商业")*('数据-基础表'!BB5:BK5))</f>
        <v>0</v>
      </c>
      <c r="F10" s="1393"/>
      <c r="G10" s="2224"/>
      <c r="H10" s="2224"/>
      <c r="I10" s="1393"/>
      <c r="J10" s="1393"/>
      <c r="K10" s="1393"/>
      <c r="L10" s="1393"/>
      <c r="M10" s="1393"/>
      <c r="N10" s="1393"/>
      <c r="O10" s="1393"/>
      <c r="P10" s="1393"/>
    </row>
    <row r="11" spans="1:16">
      <c r="A11" s="2225"/>
      <c r="B11" s="2226"/>
      <c r="C11" s="48" t="s">
        <v>1918</v>
      </c>
      <c r="D11" s="48">
        <f t="shared" si="0"/>
        <v>0</v>
      </c>
      <c r="E11" s="51">
        <f>SUMPRODUCT(('数据-基础表'!BB10:BK10="地下")*('数据-基础表'!BB11:BK11="办公")*('数据-基础表'!BB5:BK5))+'数据-基础表'!BP5</f>
        <v>0</v>
      </c>
      <c r="F11" s="1393"/>
      <c r="G11" s="2224"/>
      <c r="H11" s="2224"/>
      <c r="I11" s="1393"/>
      <c r="J11" s="1393"/>
      <c r="K11" s="1393"/>
      <c r="L11" s="1393"/>
      <c r="M11" s="1393"/>
      <c r="N11" s="1393"/>
      <c r="O11" s="1393"/>
      <c r="P11" s="1393"/>
    </row>
    <row r="12" spans="1:16">
      <c r="A12" s="2225"/>
      <c r="B12" s="2226"/>
      <c r="C12" s="48" t="s">
        <v>1919</v>
      </c>
      <c r="D12" s="48">
        <f t="shared" si="0"/>
        <v>0</v>
      </c>
      <c r="E12" s="51">
        <f>SUMPRODUCT(('数据-基础表'!BB10:BK10="地下")*('数据-基础表'!BB11:BK11="仓储")*('数据-基础表'!BB5:BK5))</f>
        <v>0</v>
      </c>
      <c r="F12" s="1393"/>
      <c r="G12" s="2224"/>
      <c r="H12" s="2224"/>
      <c r="I12" s="1393"/>
      <c r="J12" s="1393"/>
      <c r="K12" s="1393"/>
      <c r="L12" s="1393"/>
      <c r="M12" s="1393"/>
      <c r="N12" s="1393"/>
      <c r="O12" s="1393"/>
      <c r="P12" s="1393"/>
    </row>
    <row r="13" spans="1:16">
      <c r="A13" s="2225"/>
      <c r="B13" s="2226"/>
      <c r="C13" s="48" t="s">
        <v>1920</v>
      </c>
      <c r="D13" s="48">
        <f t="shared" si="0"/>
        <v>0</v>
      </c>
      <c r="E13" s="51">
        <f>SUMPRODUCT(('数据-基础表'!BB10:BK10="地下")*('数据-基础表'!BB11:BK11="车库")*('数据-基础表'!BB5:BK5))</f>
        <v>0</v>
      </c>
      <c r="F13" s="1393"/>
      <c r="G13" s="2224"/>
      <c r="H13" s="2224"/>
      <c r="I13" s="1393"/>
      <c r="J13" s="1393"/>
      <c r="K13" s="1393"/>
      <c r="L13" s="1393"/>
      <c r="M13" s="1393"/>
      <c r="N13" s="1393"/>
      <c r="O13" s="1393"/>
      <c r="P13" s="1393"/>
    </row>
    <row r="14" spans="1:16">
      <c r="A14" s="2225"/>
      <c r="B14" s="2226"/>
      <c r="C14" s="48" t="s">
        <v>1932</v>
      </c>
      <c r="D14" s="48">
        <f t="shared" si="0"/>
        <v>0</v>
      </c>
      <c r="E14" s="51">
        <f>SUMPRODUCT(('数据-基础表'!BB10:BK10="地下")*('数据-基础表'!BB11:BK11="车库—商业")*('数据-基础表'!BB5:BK5))</f>
        <v>0</v>
      </c>
      <c r="F14" s="1393"/>
      <c r="G14" s="2224"/>
      <c r="H14" s="2224"/>
      <c r="I14" s="1393"/>
      <c r="J14" s="1393"/>
      <c r="K14" s="1393"/>
      <c r="L14" s="1393"/>
      <c r="M14" s="1393"/>
      <c r="N14" s="1393"/>
      <c r="O14" s="1393"/>
      <c r="P14" s="1393"/>
    </row>
    <row r="15" spans="1:16" ht="15" thickBot="1">
      <c r="A15" s="2225"/>
      <c r="B15" s="2226"/>
      <c r="C15" s="48" t="s">
        <v>1927</v>
      </c>
      <c r="D15" s="48">
        <f t="shared" si="0"/>
        <v>0</v>
      </c>
      <c r="E15" s="51">
        <f>SUMPRODUCT(('数据-基础表'!BB10:BK10="地下")*('数据-基础表'!BB11:BK11="车库—办公")*('数据-基础表'!BB5:BK5))</f>
        <v>0</v>
      </c>
      <c r="F15" s="1393"/>
      <c r="G15" s="2224"/>
      <c r="H15" s="2224"/>
      <c r="I15" s="1393"/>
      <c r="J15" s="1393"/>
      <c r="K15" s="1393"/>
      <c r="L15" s="1393"/>
      <c r="M15" s="1393"/>
      <c r="N15" s="1393"/>
      <c r="O15" s="1393"/>
      <c r="P15" s="1393"/>
    </row>
    <row r="16" spans="1:16" ht="15.75" thickBot="1">
      <c r="A16" s="2221"/>
      <c r="B16" s="2226"/>
      <c r="C16" s="50" t="s">
        <v>1921</v>
      </c>
      <c r="D16" s="50">
        <f>SUM(D8:D15)</f>
        <v>1000.01</v>
      </c>
      <c r="E16" s="53">
        <f>SUM(E8:E15)</f>
        <v>1812.99</v>
      </c>
      <c r="F16" s="1393"/>
      <c r="G16" s="2224"/>
      <c r="H16" s="2227" t="s">
        <v>1933</v>
      </c>
      <c r="I16" s="2228"/>
      <c r="J16" s="1393"/>
      <c r="K16" s="3059" t="s">
        <v>1933</v>
      </c>
      <c r="L16" s="3060"/>
      <c r="M16" s="3060"/>
      <c r="N16" s="3060"/>
      <c r="O16" s="3060"/>
      <c r="P16" s="3061"/>
    </row>
    <row r="17" spans="1:19" ht="15">
      <c r="A17" s="2229" t="s">
        <v>1934</v>
      </c>
      <c r="B17" s="2230" t="s">
        <v>1935</v>
      </c>
      <c r="C17" s="2231" t="s">
        <v>1936</v>
      </c>
      <c r="D17" s="2232" t="s">
        <v>1924</v>
      </c>
      <c r="E17" s="2233" t="s">
        <v>1925</v>
      </c>
      <c r="F17" s="2234"/>
      <c r="G17" s="2235"/>
      <c r="H17" s="2236" t="s">
        <v>1937</v>
      </c>
      <c r="I17" s="2237" t="s">
        <v>1922</v>
      </c>
      <c r="J17" s="1393"/>
      <c r="K17" s="3056" t="s">
        <v>1938</v>
      </c>
      <c r="L17" s="3057"/>
      <c r="M17" s="3058"/>
      <c r="N17" s="3056" t="s">
        <v>1939</v>
      </c>
      <c r="O17" s="3057"/>
      <c r="P17" s="3058"/>
      <c r="R17" s="2215" t="s">
        <v>1940</v>
      </c>
      <c r="S17" s="64"/>
    </row>
    <row r="18" spans="1:19" ht="15">
      <c r="A18" s="2225"/>
      <c r="B18" s="2238"/>
      <c r="C18" s="2239"/>
      <c r="D18" s="2240"/>
      <c r="E18" s="2241" t="s">
        <v>1941</v>
      </c>
      <c r="F18" s="2242" t="s">
        <v>1942</v>
      </c>
      <c r="G18" s="2243" t="s">
        <v>1943</v>
      </c>
      <c r="H18" s="1263" t="s">
        <v>1944</v>
      </c>
      <c r="I18" s="2244" t="s">
        <v>1945</v>
      </c>
      <c r="J18" s="1393"/>
      <c r="K18" s="1263" t="s">
        <v>1946</v>
      </c>
      <c r="L18" s="2245" t="s">
        <v>1947</v>
      </c>
      <c r="M18" s="1049" t="s">
        <v>1948</v>
      </c>
      <c r="N18" s="1263" t="s">
        <v>1946</v>
      </c>
      <c r="O18" s="2245" t="s">
        <v>1947</v>
      </c>
      <c r="P18" s="1049" t="s">
        <v>1948</v>
      </c>
      <c r="R18" s="1248" t="s">
        <v>1949</v>
      </c>
      <c r="S18" s="1248" t="s">
        <v>1950</v>
      </c>
    </row>
    <row r="19" spans="1:19">
      <c r="A19" s="2246"/>
      <c r="B19" s="50" t="s">
        <v>1923</v>
      </c>
      <c r="C19" s="2943" t="s">
        <v>3057</v>
      </c>
      <c r="D19" s="48">
        <f>ROUND($D$3*E19/$E$3,2)</f>
        <v>1000.01</v>
      </c>
      <c r="E19" s="56">
        <f t="shared" ref="E19:E26" si="1">SUM(F19:G19)</f>
        <v>1812.99</v>
      </c>
      <c r="F19" s="57">
        <f>'数据-基础表'!I13</f>
        <v>1812.99</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48"/>
      <c r="O19" s="2249"/>
      <c r="P19" s="1404">
        <f>N19+O19</f>
        <v>0</v>
      </c>
      <c r="R19" s="1248">
        <f t="shared" ref="R19:S26" si="5">D19+H19</f>
        <v>1000.01</v>
      </c>
      <c r="S19" s="1249">
        <f t="shared" si="5"/>
        <v>1812.99</v>
      </c>
    </row>
    <row r="20" spans="1:19">
      <c r="A20" s="2250"/>
      <c r="B20" s="50" t="s">
        <v>1951</v>
      </c>
      <c r="C20" s="2247"/>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48"/>
      <c r="O20" s="2249"/>
      <c r="P20" s="1404">
        <f t="shared" ref="P20:P26" si="9">N20+O20</f>
        <v>0</v>
      </c>
      <c r="R20" s="1248">
        <f t="shared" si="5"/>
        <v>0</v>
      </c>
      <c r="S20" s="1249">
        <f t="shared" si="5"/>
        <v>0</v>
      </c>
    </row>
    <row r="21" spans="1:19">
      <c r="A21" s="2250"/>
      <c r="B21" s="50" t="s">
        <v>1951</v>
      </c>
      <c r="C21" s="2247"/>
      <c r="D21" s="48">
        <f t="shared" si="6"/>
        <v>0</v>
      </c>
      <c r="E21" s="56">
        <f t="shared" si="1"/>
        <v>0</v>
      </c>
      <c r="F21" s="57"/>
      <c r="G21" s="58"/>
      <c r="H21" s="723">
        <f t="shared" si="7"/>
        <v>0</v>
      </c>
      <c r="I21" s="51">
        <f t="shared" si="2"/>
        <v>0</v>
      </c>
      <c r="J21" s="1393"/>
      <c r="K21" s="1392">
        <f t="shared" si="3"/>
        <v>0</v>
      </c>
      <c r="L21" s="1248">
        <f t="shared" si="4"/>
        <v>0</v>
      </c>
      <c r="M21" s="1404">
        <f t="shared" si="8"/>
        <v>0</v>
      </c>
      <c r="N21" s="2248"/>
      <c r="O21" s="2249"/>
      <c r="P21" s="1404">
        <f t="shared" si="9"/>
        <v>0</v>
      </c>
      <c r="R21" s="1248">
        <f t="shared" si="5"/>
        <v>0</v>
      </c>
      <c r="S21" s="1249">
        <f t="shared" si="5"/>
        <v>0</v>
      </c>
    </row>
    <row r="22" spans="1:19">
      <c r="A22" s="2250"/>
      <c r="B22" s="50" t="s">
        <v>1951</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48"/>
      <c r="O22" s="2249"/>
      <c r="P22" s="1404">
        <f t="shared" si="9"/>
        <v>0</v>
      </c>
      <c r="R22" s="1248">
        <f t="shared" si="5"/>
        <v>0</v>
      </c>
      <c r="S22" s="1249">
        <f t="shared" si="5"/>
        <v>0</v>
      </c>
    </row>
    <row r="23" spans="1:19">
      <c r="A23" s="2250"/>
      <c r="B23" s="50" t="s">
        <v>1951</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48"/>
      <c r="O23" s="2249"/>
      <c r="P23" s="1404">
        <f t="shared" si="9"/>
        <v>0</v>
      </c>
      <c r="R23" s="1248">
        <f t="shared" si="5"/>
        <v>0</v>
      </c>
      <c r="S23" s="1249">
        <f t="shared" si="5"/>
        <v>0</v>
      </c>
    </row>
    <row r="24" spans="1:19">
      <c r="A24" s="2250"/>
      <c r="B24" s="50" t="s">
        <v>1951</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48"/>
      <c r="O24" s="2249"/>
      <c r="P24" s="1404">
        <f t="shared" si="9"/>
        <v>0</v>
      </c>
      <c r="R24" s="1248">
        <f t="shared" si="5"/>
        <v>0</v>
      </c>
      <c r="S24" s="1249">
        <f t="shared" si="5"/>
        <v>0</v>
      </c>
    </row>
    <row r="25" spans="1:19">
      <c r="A25" s="2250"/>
      <c r="B25" s="50" t="s">
        <v>1951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48"/>
      <c r="O25" s="2249"/>
      <c r="P25" s="1404">
        <f t="shared" si="9"/>
        <v>0</v>
      </c>
      <c r="R25" s="1248">
        <f t="shared" si="5"/>
        <v>0</v>
      </c>
      <c r="S25" s="1249">
        <f t="shared" si="5"/>
        <v>0</v>
      </c>
    </row>
    <row r="26" spans="1:19">
      <c r="A26" s="2250"/>
      <c r="B26" s="50" t="s">
        <v>1951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1"/>
      <c r="O26" s="2252"/>
      <c r="P26" s="67">
        <f t="shared" si="9"/>
        <v>0</v>
      </c>
      <c r="R26" s="1248">
        <f t="shared" si="5"/>
        <v>0</v>
      </c>
      <c r="S26" s="1249">
        <f t="shared" si="5"/>
        <v>0</v>
      </c>
    </row>
    <row r="27" spans="1:19" ht="15.75" thickBot="1">
      <c r="A27" s="2250"/>
      <c r="B27" s="48"/>
      <c r="C27" s="2253" t="s">
        <v>1952</v>
      </c>
      <c r="D27" s="1394">
        <f>SUM(D19:D26)</f>
        <v>1000.01</v>
      </c>
      <c r="E27" s="1395">
        <f>IF(SUM(E19:E26)='数据-基础表'!BA5,SUM(E19:E26),IF(F27="地上面积有误","面积有误","地下面积有误"))</f>
        <v>1812.99</v>
      </c>
      <c r="F27" s="1394">
        <f>IF(SUM(F19:F26)=E8,SUM(F19:F26),"地上面积有误")</f>
        <v>1812.99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1000.01</v>
      </c>
      <c r="S27" s="1248">
        <f>IF(SUM(S19:S26)=$E$3,SUM(S19:S26),SUM(S19:S26)&amp;"误差"&amp;ROUND(SUM(S19:S26)-E3,2))</f>
        <v>1812.99</v>
      </c>
    </row>
    <row r="28" spans="1:19">
      <c r="A28" s="2250"/>
      <c r="B28" s="50" t="s">
        <v>1953</v>
      </c>
      <c r="C28" s="1260" t="s">
        <v>1954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0"/>
      <c r="B29" s="50" t="s">
        <v>1953</v>
      </c>
      <c r="C29" s="2254" t="s">
        <v>1955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0"/>
      <c r="B30" s="50"/>
      <c r="C30" s="2255" t="s">
        <v>1952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56"/>
      <c r="B31" s="2257"/>
      <c r="C31" s="1010" t="s">
        <v>1956</v>
      </c>
      <c r="D31" s="729">
        <f>D27+D30</f>
        <v>1000.01</v>
      </c>
      <c r="E31" s="729">
        <f>E27+E30</f>
        <v>1812.99</v>
      </c>
      <c r="F31" s="730">
        <f>F27+F30</f>
        <v>1812.99</v>
      </c>
      <c r="G31" s="731">
        <f>G27+G30</f>
        <v>0</v>
      </c>
      <c r="H31" s="1393"/>
      <c r="I31" s="1393"/>
      <c r="J31" s="1393"/>
      <c r="K31" s="1393"/>
      <c r="L31" s="1393"/>
      <c r="M31" s="1393"/>
      <c r="N31" s="1393"/>
      <c r="O31" s="1393"/>
      <c r="P31" s="1393"/>
    </row>
    <row r="32" spans="1:19">
      <c r="A32" s="2220"/>
      <c r="B32" s="2220" t="s">
        <v>1957</v>
      </c>
      <c r="C32" s="2220"/>
      <c r="D32" s="2220"/>
      <c r="E32" s="1275">
        <f>SUMIF(C19:C26,"*住宅*",E19:E26)</f>
        <v>0</v>
      </c>
      <c r="F32" s="2220"/>
      <c r="G32" s="2220"/>
      <c r="H32" s="1393"/>
      <c r="I32" s="1393"/>
      <c r="J32" s="1393"/>
      <c r="K32" s="1393"/>
      <c r="L32" s="1393"/>
      <c r="M32" s="1393"/>
      <c r="N32" s="1393"/>
      <c r="O32" s="1393"/>
      <c r="P32" s="1393"/>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1958</v>
      </c>
      <c r="B1" s="732"/>
      <c r="C1" s="1581"/>
      <c r="D1" s="226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63" t="s">
        <v>1959</v>
      </c>
      <c r="B2" s="1267">
        <f>项目基本情况!D3</f>
        <v>43293</v>
      </c>
      <c r="C2" s="2264"/>
      <c r="D2" s="2265"/>
      <c r="E2" s="2264"/>
      <c r="F2" s="2264"/>
      <c r="G2" s="2264"/>
      <c r="H2" s="2264"/>
      <c r="I2" s="2264"/>
      <c r="J2" s="2264"/>
      <c r="K2" s="1428"/>
      <c r="L2" s="1428"/>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31" customFormat="1" ht="15" thickBot="1">
      <c r="A3" s="2029"/>
      <c r="B3" s="2267"/>
      <c r="C3" s="2264"/>
      <c r="D3" s="2265"/>
      <c r="E3" s="2264"/>
      <c r="F3" s="2264"/>
      <c r="G3" s="2264"/>
      <c r="H3" s="2264"/>
      <c r="I3" s="2264"/>
      <c r="J3" s="2264"/>
      <c r="K3" s="1428"/>
      <c r="L3" s="1428"/>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31" customFormat="1" ht="15" thickBot="1">
      <c r="A4" s="68" t="s">
        <v>1960</v>
      </c>
      <c r="B4" s="2268"/>
      <c r="C4" s="2269"/>
      <c r="D4" s="2270"/>
      <c r="E4" s="2269" t="s">
        <v>1961</v>
      </c>
      <c r="F4" s="2269"/>
      <c r="G4" s="2269"/>
      <c r="H4" s="2269"/>
      <c r="I4" s="2269"/>
      <c r="J4" s="2271"/>
      <c r="K4" s="2272"/>
      <c r="L4" s="2273"/>
      <c r="M4" s="2269"/>
      <c r="N4" s="2269" t="s">
        <v>1962</v>
      </c>
      <c r="O4" s="2269"/>
      <c r="P4" s="2269"/>
      <c r="Q4" s="2269"/>
      <c r="R4" s="2269"/>
      <c r="S4" s="2271"/>
      <c r="T4" s="2274" t="str">
        <f>'数据-汇总表'!I17</f>
        <v>按面积比例</v>
      </c>
      <c r="U4" s="2268" t="s">
        <v>1963</v>
      </c>
      <c r="V4" s="2269"/>
      <c r="W4" s="2269"/>
      <c r="X4" s="2269"/>
      <c r="Y4" s="2271"/>
      <c r="Z4" s="2231" t="s">
        <v>1964</v>
      </c>
      <c r="AA4" s="2231"/>
      <c r="AB4" s="2231"/>
      <c r="AC4" s="2231"/>
      <c r="AD4" s="2231"/>
      <c r="AE4" s="2229" t="s">
        <v>1965</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32" customFormat="1" ht="42">
      <c r="A5" s="2276" t="s">
        <v>1966</v>
      </c>
      <c r="B5" s="2277" t="s">
        <v>1967</v>
      </c>
      <c r="C5" s="2278" t="s">
        <v>1968</v>
      </c>
      <c r="D5" s="2279" t="s">
        <v>1969</v>
      </c>
      <c r="E5" s="1269" t="s">
        <v>1970</v>
      </c>
      <c r="F5" s="2280" t="s">
        <v>1971</v>
      </c>
      <c r="G5" s="1269" t="s">
        <v>1972</v>
      </c>
      <c r="H5" s="1269" t="s">
        <v>1973</v>
      </c>
      <c r="I5" s="1269" t="s">
        <v>1974</v>
      </c>
      <c r="J5" s="2281" t="s">
        <v>1975</v>
      </c>
      <c r="K5" s="2282" t="s">
        <v>1976</v>
      </c>
      <c r="L5" s="2283" t="s">
        <v>1977</v>
      </c>
      <c r="M5" s="2284" t="s">
        <v>1978</v>
      </c>
      <c r="N5" s="2285" t="s">
        <v>3058</v>
      </c>
      <c r="O5" s="2283" t="s">
        <v>1979</v>
      </c>
      <c r="P5" s="2286" t="s">
        <v>1980</v>
      </c>
      <c r="Q5" s="69" t="s">
        <v>1981</v>
      </c>
      <c r="R5" s="2287" t="s">
        <v>1982</v>
      </c>
      <c r="S5" s="2288" t="s">
        <v>1983</v>
      </c>
      <c r="T5" s="2289" t="s">
        <v>1984</v>
      </c>
      <c r="U5" s="1268" t="s">
        <v>1985</v>
      </c>
      <c r="V5" s="1269" t="s">
        <v>1986</v>
      </c>
      <c r="W5" s="1269" t="s">
        <v>1987</v>
      </c>
      <c r="X5" s="71"/>
      <c r="Y5" s="70" t="s">
        <v>1988</v>
      </c>
      <c r="Z5" s="2290" t="s">
        <v>1985</v>
      </c>
      <c r="AA5" s="1269" t="s">
        <v>1986</v>
      </c>
      <c r="AB5" s="1269" t="s">
        <v>1987</v>
      </c>
      <c r="AC5" s="71"/>
      <c r="AD5" s="71" t="s">
        <v>1988</v>
      </c>
      <c r="AE5" s="1268" t="s">
        <v>1989</v>
      </c>
      <c r="AF5" s="1269" t="s">
        <v>1990</v>
      </c>
      <c r="AG5" s="70" t="s">
        <v>1991</v>
      </c>
      <c r="AH5" s="1268" t="s">
        <v>1992</v>
      </c>
      <c r="AI5" s="2290" t="s">
        <v>1993</v>
      </c>
      <c r="AJ5" s="2290" t="s">
        <v>1994</v>
      </c>
      <c r="AK5" s="1269" t="s">
        <v>1995</v>
      </c>
      <c r="AL5" s="1269" t="s">
        <v>1996</v>
      </c>
      <c r="AM5" s="70" t="s">
        <v>1997</v>
      </c>
      <c r="AN5" s="2291" t="s">
        <v>1998</v>
      </c>
      <c r="AO5" s="2071" t="s">
        <v>1999</v>
      </c>
      <c r="AP5" s="1250" t="s">
        <v>2000</v>
      </c>
      <c r="AQ5" s="2292" t="s">
        <v>2001</v>
      </c>
      <c r="AR5" s="2292" t="s">
        <v>2002</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31" customFormat="1" ht="14.25">
      <c r="A6" s="2293" t="str">
        <f>'数据-汇总表'!C19</f>
        <v>28号楼</v>
      </c>
      <c r="B6" s="2294" t="str">
        <f>IF(A6=0,"","经营性")</f>
        <v>经营性</v>
      </c>
      <c r="C6" s="2295" t="s">
        <v>6</v>
      </c>
      <c r="D6" s="1053">
        <f>SUMIF(项目基本情况!D$12:I$12,C6,项目基本情况!D$14:I$14)</f>
        <v>50</v>
      </c>
      <c r="E6" s="1050">
        <f>IF(B6="","",SUMIF(项目基本情况!D$12:I$12,C6,项目基本情况!D$13:I$13))</f>
        <v>56781</v>
      </c>
      <c r="F6" s="72">
        <f>SUMIF(项目基本情况!D$12:I$12,C6,项目基本情况!D$15:I$15)</f>
        <v>36.950000000000003</v>
      </c>
      <c r="G6" s="73">
        <f>IF(ISERROR(ROUND(POWER(1+H6,D6-F6)*(POWER(1+H6,F6)-1)/(POWER(1+H6,D6)-1),3)),0,ROUND(POWER(1+H6,D6-F6)*(POWER(1+H6,F6)-1)/(POWER(1+H6,D6)-1),3))</f>
        <v>0.90300000000000002</v>
      </c>
      <c r="H6" s="802">
        <v>4.4999999999999998E-2</v>
      </c>
      <c r="I6" s="802">
        <v>0.05</v>
      </c>
      <c r="J6" s="74">
        <v>8.5000000000000006E-2</v>
      </c>
      <c r="K6" s="1252">
        <f>SUMIF('数据-汇总表'!C$19:C$33,A6,'数据-汇总表'!E$19:E$33)</f>
        <v>1812.99</v>
      </c>
      <c r="L6" s="803">
        <v>2800</v>
      </c>
      <c r="M6" s="75">
        <f t="shared" ref="M6:M14" si="0">ROUND(K6*L6/10000,0)</f>
        <v>508</v>
      </c>
      <c r="N6" s="801">
        <f>ROUND((60-(2018-2007))/60,2)</f>
        <v>0.82</v>
      </c>
      <c r="O6" s="75" t="str">
        <f>IF($N$5="成新度","——",ROUND(M6*N6,0))</f>
        <v>——</v>
      </c>
      <c r="P6" s="76" t="str">
        <f>IF($N$5="成新度","——",M6-O6)</f>
        <v>——</v>
      </c>
      <c r="Q6" s="804">
        <v>0.15</v>
      </c>
      <c r="R6" s="77">
        <f ca="1">SUMIF('数据-汇总表'!C$19:C$33,A6,'数据-汇总表'!R$19:R$27)</f>
        <v>1000.01</v>
      </c>
      <c r="S6" s="54">
        <f>IF('数据-汇总表'!$I$17="按面积比例",SUMIF('数据-汇总表'!C$19:C$33,A6,'数据-汇总表'!K$19:K$33),SUMIF('数据-汇总表'!C$19:C$33,A6,'数据-汇总表'!N$19:N$33))</f>
        <v>0</v>
      </c>
      <c r="T6" s="1444">
        <f>ROUND($L$14*S6/10000,0)</f>
        <v>0</v>
      </c>
      <c r="U6" s="78">
        <f>'比较法-办公 (租金)'!B3</f>
        <v>3.5</v>
      </c>
      <c r="V6" s="79">
        <v>2.5000000000000001E-2</v>
      </c>
      <c r="W6" s="79">
        <v>0.1</v>
      </c>
      <c r="X6" s="1262"/>
      <c r="Y6" s="80">
        <f>N6</f>
        <v>0.82</v>
      </c>
      <c r="Z6" s="81"/>
      <c r="AA6" s="74"/>
      <c r="AB6" s="74"/>
      <c r="AC6" s="1262"/>
      <c r="AD6" s="82"/>
      <c r="AE6" s="1263">
        <f ca="1">IF(AN6="",0,SUMIF(INDIRECT("'"&amp;AN6&amp;"'"&amp;"!E:E"),$AE$5,INDIRECT("'"&amp;AN6&amp;"'"&amp;"!F:F")))</f>
        <v>36.950000000000003</v>
      </c>
      <c r="AF6" s="1804"/>
      <c r="AG6" s="147">
        <f>IF(AF6="",0,AE6-AF6)</f>
        <v>0</v>
      </c>
      <c r="AH6" s="83"/>
      <c r="AI6" s="85">
        <v>365</v>
      </c>
      <c r="AJ6" s="86"/>
      <c r="AK6" s="87">
        <v>1.4999999999999999E-2</v>
      </c>
      <c r="AL6" s="88">
        <v>2E-3</v>
      </c>
      <c r="AM6" s="89">
        <v>1.4999999999999999E-2</v>
      </c>
      <c r="AN6" s="2296" t="s">
        <v>3106</v>
      </c>
      <c r="AO6" s="55">
        <f ca="1">SUMIF(INDIRECT("'"&amp;AN6&amp;"'"&amp;"!A:A"),"总价",INDIRECT("'"&amp;AN6&amp;"'"&amp;"!B:B"))</f>
        <v>3696</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31" customFormat="1" ht="14.25">
      <c r="A7" s="2293">
        <f>'数据-汇总表'!C20</f>
        <v>0</v>
      </c>
      <c r="B7" s="2294" t="str">
        <f t="shared" ref="B7:B13" si="1">IF(A7=0,"","经营性")</f>
        <v/>
      </c>
      <c r="C7" s="2295"/>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31" customFormat="1" ht="14.25">
      <c r="A8" s="2293">
        <f>'数据-汇总表'!C21</f>
        <v>0</v>
      </c>
      <c r="B8" s="2294" t="str">
        <f t="shared" si="1"/>
        <v/>
      </c>
      <c r="C8" s="2295"/>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31" customFormat="1" ht="14.25">
      <c r="A9" s="2293">
        <f>'数据-汇总表'!C22</f>
        <v>0</v>
      </c>
      <c r="B9" s="2294" t="str">
        <f t="shared" si="1"/>
        <v/>
      </c>
      <c r="C9" s="229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31" customFormat="1" ht="14.25">
      <c r="A10" s="2293">
        <f>'数据-汇总表'!C23</f>
        <v>0</v>
      </c>
      <c r="B10" s="2294" t="str">
        <f t="shared" si="1"/>
        <v/>
      </c>
      <c r="C10" s="229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31" customFormat="1" ht="14.25">
      <c r="A11" s="2293">
        <f>'数据-汇总表'!C24</f>
        <v>0</v>
      </c>
      <c r="B11" s="2294" t="str">
        <f t="shared" si="1"/>
        <v/>
      </c>
      <c r="C11" s="229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31" customFormat="1" ht="14.25">
      <c r="A12" s="2293">
        <f>'数据-汇总表'!C25</f>
        <v>0</v>
      </c>
      <c r="B12" s="2294" t="str">
        <f t="shared" si="1"/>
        <v/>
      </c>
      <c r="C12" s="229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31" customFormat="1" ht="14.25">
      <c r="A13" s="2293">
        <f>'数据-汇总表'!C26</f>
        <v>0</v>
      </c>
      <c r="B13" s="2294" t="str">
        <f t="shared" si="1"/>
        <v/>
      </c>
      <c r="C13" s="229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31" customFormat="1" ht="14.25">
      <c r="A14" s="2298" t="s">
        <v>2003</v>
      </c>
      <c r="B14" s="2294" t="s">
        <v>2004</v>
      </c>
      <c r="C14" s="2299" t="s">
        <v>2003</v>
      </c>
      <c r="D14" s="1053"/>
      <c r="E14" s="1050"/>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31" customFormat="1" ht="27">
      <c r="A15" s="2298" t="s">
        <v>2005</v>
      </c>
      <c r="B15" s="2294" t="s">
        <v>2004</v>
      </c>
      <c r="C15" s="2299" t="s">
        <v>2006</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31" customFormat="1" ht="15.75" thickBot="1">
      <c r="A16" s="2300" t="s">
        <v>2007</v>
      </c>
      <c r="B16" s="97"/>
      <c r="C16" s="1008"/>
      <c r="D16" s="2301"/>
      <c r="E16" s="97"/>
      <c r="F16" s="97"/>
      <c r="G16" s="98">
        <f>ROUND(SUMPRODUCT(G6:G13,K6:K13)/SUMPRODUCT((G6:G13&gt;0)*(K6:K13)),3)</f>
        <v>0.90300000000000002</v>
      </c>
      <c r="H16" s="99">
        <f>ROUND(SUMPRODUCT(H6:H13,K6:K13)/SUMPRODUCT((H6:H13&gt;0)*(K6:K13)),3)</f>
        <v>4.4999999999999998E-2</v>
      </c>
      <c r="I16" s="100"/>
      <c r="J16" s="100"/>
      <c r="K16" s="101">
        <f>SUM(K6:K15)</f>
        <v>1812.99</v>
      </c>
      <c r="L16" s="102">
        <f>ROUND(M16*10000/SUM(K6:K14),0)</f>
        <v>2802</v>
      </c>
      <c r="M16" s="102">
        <f>SUM(M6:M14)</f>
        <v>508</v>
      </c>
      <c r="N16" s="103">
        <f>ROUND(SUMPRODUCT(M6:M14,N6:N14)/M16,3)</f>
        <v>0.82</v>
      </c>
      <c r="O16" s="102">
        <f>SUM(O6:O14)</f>
        <v>0</v>
      </c>
      <c r="P16" s="102">
        <f>SUM(P6:P14)</f>
        <v>0</v>
      </c>
      <c r="Q16" s="104">
        <f>ROUND(SUMPRODUCT(Q6:Q13,K6:K13)/SUMPRODUCT((Q6:Q13&gt;0)*(K6:K13)),2)</f>
        <v>0.15</v>
      </c>
      <c r="R16" s="1256">
        <f ca="1">SUM(R6:R13)</f>
        <v>1000.01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2"/>
      <c r="C17" s="1581"/>
      <c r="D17" s="2260"/>
      <c r="E17" s="226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67"/>
      <c r="C18" s="2264"/>
      <c r="D18" s="2265"/>
      <c r="E18" s="2264"/>
      <c r="F18" s="2264"/>
      <c r="G18" s="2264"/>
      <c r="H18" s="2264"/>
      <c r="I18" s="2264"/>
      <c r="J18" s="226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3" t="s">
        <v>2009</v>
      </c>
      <c r="B19" s="112">
        <v>0</v>
      </c>
      <c r="C19" s="2264" t="s">
        <v>2010</v>
      </c>
      <c r="D19" s="2265"/>
      <c r="E19" s="2264"/>
      <c r="F19" s="2264"/>
      <c r="G19" s="2264"/>
      <c r="H19" s="2264"/>
      <c r="I19" s="2264"/>
      <c r="J19" s="226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4" t="s">
        <v>2011</v>
      </c>
      <c r="B20" s="113">
        <v>1.5</v>
      </c>
      <c r="C20" s="2264" t="s">
        <v>2012</v>
      </c>
      <c r="D20" s="2265"/>
      <c r="E20" s="2264"/>
      <c r="F20" s="2264"/>
      <c r="G20" s="2264"/>
      <c r="H20" s="2264"/>
      <c r="I20" s="2264"/>
      <c r="J20" s="226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5" t="s">
        <v>2013</v>
      </c>
      <c r="B21" s="113">
        <v>1.5</v>
      </c>
      <c r="C21" s="2264"/>
      <c r="D21" s="2265"/>
      <c r="E21" s="2264"/>
      <c r="F21" s="2264"/>
      <c r="G21" s="2264"/>
      <c r="H21" s="2264"/>
      <c r="I21" s="2264"/>
      <c r="J21" s="226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4" t="s">
        <v>2014</v>
      </c>
      <c r="B22" s="114">
        <f>B19+B20</f>
        <v>1.5</v>
      </c>
      <c r="C22" s="2264"/>
      <c r="D22" s="2265"/>
      <c r="E22" s="2264"/>
      <c r="F22" s="2264"/>
      <c r="G22" s="2264"/>
      <c r="H22" s="2264"/>
      <c r="I22" s="2264"/>
      <c r="J22" s="226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5" t="s">
        <v>2015</v>
      </c>
      <c r="B23" s="114">
        <f>B19+B21</f>
        <v>1.5</v>
      </c>
      <c r="C23" s="2264"/>
      <c r="D23" s="2265"/>
      <c r="E23" s="2264"/>
      <c r="F23" s="2264"/>
      <c r="G23" s="2264"/>
      <c r="H23" s="2264"/>
      <c r="I23" s="2264"/>
      <c r="J23" s="226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6" t="s">
        <v>2016</v>
      </c>
      <c r="B24" s="115">
        <f>B20-B21</f>
        <v>0</v>
      </c>
      <c r="C24" s="2264"/>
      <c r="D24" s="2265"/>
      <c r="E24" s="2264"/>
      <c r="F24" s="2264"/>
      <c r="G24" s="2264"/>
      <c r="H24" s="2264"/>
      <c r="I24" s="2264"/>
      <c r="J24" s="226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67"/>
      <c r="C25" s="2264"/>
      <c r="D25" s="2265"/>
      <c r="E25" s="2264"/>
      <c r="F25" s="2264"/>
      <c r="G25" s="2264"/>
      <c r="H25" s="2264"/>
      <c r="I25" s="2264"/>
      <c r="J25" s="226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3" t="s">
        <v>2017</v>
      </c>
      <c r="B26" s="2307" t="s">
        <v>2018</v>
      </c>
      <c r="C26" s="2308" t="s">
        <v>2019</v>
      </c>
      <c r="D26" s="2265"/>
      <c r="E26" s="2264"/>
      <c r="F26" s="2264"/>
      <c r="G26" s="2264"/>
      <c r="H26" s="2264"/>
      <c r="I26" s="2264"/>
      <c r="J26" s="226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1" customFormat="1" ht="27.75">
      <c r="A27" s="2309" t="s">
        <v>2020</v>
      </c>
      <c r="B27" s="116">
        <v>160</v>
      </c>
      <c r="C27" s="1764" t="s">
        <v>2021</v>
      </c>
      <c r="D27" s="2310"/>
      <c r="E27" s="1428"/>
      <c r="F27" s="1428"/>
      <c r="G27" s="2264"/>
      <c r="H27" s="2264"/>
      <c r="I27" s="2264"/>
      <c r="J27" s="226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1" customFormat="1" ht="27.75">
      <c r="A28" s="2312" t="s">
        <v>2022</v>
      </c>
      <c r="B28" s="119">
        <v>200</v>
      </c>
      <c r="C28" s="2313"/>
      <c r="D28" s="2310"/>
      <c r="E28" s="1428"/>
      <c r="F28" s="1428"/>
      <c r="G28" s="2264"/>
      <c r="H28" s="2264"/>
      <c r="I28" s="2264"/>
      <c r="J28" s="226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1" customFormat="1" ht="28.5" thickBot="1">
      <c r="A29" s="2314" t="s">
        <v>2023</v>
      </c>
      <c r="B29" s="121"/>
      <c r="C29" s="1764" t="s">
        <v>2024</v>
      </c>
      <c r="D29" s="2310"/>
      <c r="E29" s="1428"/>
      <c r="F29" s="1428"/>
      <c r="G29" s="2264"/>
      <c r="H29" s="2264"/>
      <c r="I29" s="2264"/>
      <c r="J29" s="226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1" customFormat="1" ht="27">
      <c r="A30" s="2315" t="s">
        <v>2025</v>
      </c>
      <c r="B30" s="724">
        <v>150</v>
      </c>
      <c r="C30" s="2313"/>
      <c r="D30" s="2310"/>
      <c r="E30" s="1428"/>
      <c r="F30" s="1428"/>
      <c r="G30" s="2264"/>
      <c r="H30" s="2264"/>
      <c r="I30" s="2264"/>
      <c r="J30" s="226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1" customFormat="1" ht="27">
      <c r="A31" s="2312" t="s">
        <v>2026</v>
      </c>
      <c r="B31" s="120">
        <f>B30-B32</f>
        <v>150</v>
      </c>
      <c r="C31" s="1764"/>
      <c r="D31" s="2310"/>
      <c r="E31" s="1428"/>
      <c r="F31" s="1428"/>
      <c r="G31" s="2264"/>
      <c r="H31" s="2264"/>
      <c r="I31" s="2264"/>
      <c r="J31" s="226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1" customFormat="1" ht="27.75" thickBot="1">
      <c r="A32" s="2316" t="s">
        <v>2027</v>
      </c>
      <c r="B32" s="725">
        <v>0</v>
      </c>
      <c r="C32" s="2313"/>
      <c r="D32" s="2265"/>
      <c r="E32" s="2264"/>
      <c r="F32" s="2264"/>
      <c r="G32" s="2264"/>
      <c r="H32" s="2264"/>
      <c r="I32" s="2264"/>
      <c r="J32" s="226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1" customFormat="1" ht="14.25">
      <c r="A33" s="2309" t="s">
        <v>2028</v>
      </c>
      <c r="B33" s="726">
        <v>0.03</v>
      </c>
      <c r="C33" s="1763" t="s">
        <v>2029</v>
      </c>
      <c r="D33" s="2265"/>
      <c r="E33" s="2264"/>
      <c r="F33" s="2264"/>
      <c r="G33" s="2264"/>
      <c r="H33" s="2264"/>
      <c r="I33" s="2264"/>
      <c r="J33" s="226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1" customFormat="1" ht="14.25">
      <c r="A34" s="2312" t="s">
        <v>2030</v>
      </c>
      <c r="B34" s="122">
        <v>0</v>
      </c>
      <c r="C34" s="1763" t="s">
        <v>2031</v>
      </c>
      <c r="D34" s="2265" t="s">
        <v>2032</v>
      </c>
      <c r="E34" s="732"/>
      <c r="F34" s="2264"/>
      <c r="G34" s="2264"/>
      <c r="H34" s="2264"/>
      <c r="I34" s="2264"/>
      <c r="J34" s="226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1" customFormat="1" ht="14.25">
      <c r="A35" s="2312" t="s">
        <v>2033</v>
      </c>
      <c r="B35" s="119">
        <v>200</v>
      </c>
      <c r="C35" s="1763" t="s">
        <v>2034</v>
      </c>
      <c r="D35" s="2310"/>
      <c r="E35" s="1428"/>
      <c r="F35" s="1428"/>
      <c r="G35" s="2264"/>
      <c r="H35" s="2264"/>
      <c r="I35" s="2264"/>
      <c r="J35" s="226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14" t="s">
        <v>2035</v>
      </c>
      <c r="B36" s="123">
        <v>1.4999999999999999E-2</v>
      </c>
      <c r="C36" s="1763" t="s">
        <v>2036</v>
      </c>
      <c r="D36" s="2265"/>
      <c r="E36" s="2264"/>
      <c r="F36" s="2264"/>
      <c r="G36" s="2264"/>
      <c r="H36" s="2264"/>
      <c r="I36" s="2264"/>
      <c r="J36" s="226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5" t="s">
        <v>2037</v>
      </c>
      <c r="B37" s="124">
        <v>0.02</v>
      </c>
      <c r="C37" s="1763" t="s">
        <v>2038</v>
      </c>
      <c r="D37" s="2265"/>
      <c r="E37" s="2264"/>
      <c r="F37" s="2264"/>
      <c r="G37" s="2264"/>
      <c r="H37" s="2264"/>
      <c r="I37" s="2264"/>
      <c r="J37" s="226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2" t="s">
        <v>2039</v>
      </c>
      <c r="B38" s="122">
        <v>0.02</v>
      </c>
      <c r="C38" s="1763" t="s">
        <v>2038</v>
      </c>
      <c r="D38" s="2265"/>
      <c r="E38" s="2264"/>
      <c r="F38" s="2264"/>
      <c r="G38" s="2264"/>
      <c r="H38" s="2264"/>
      <c r="I38" s="2264"/>
      <c r="J38" s="226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6" t="s">
        <v>2040</v>
      </c>
      <c r="B39" s="362">
        <f ca="1">存贷款利率!I1</f>
        <v>1.4999999999999999E-2</v>
      </c>
      <c r="C39" s="1763"/>
      <c r="D39" s="2265"/>
      <c r="E39" s="2264"/>
      <c r="F39" s="2264"/>
      <c r="G39" s="2264"/>
      <c r="H39" s="2264"/>
      <c r="I39" s="2264"/>
      <c r="J39" s="226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6" t="s">
        <v>2041</v>
      </c>
      <c r="B40" s="1301">
        <f ca="1">存贷款利率!G1</f>
        <v>4.7500000000000001E-2</v>
      </c>
      <c r="C40" s="1763" t="s">
        <v>2042</v>
      </c>
      <c r="D40" s="1581"/>
      <c r="E40" s="2265"/>
      <c r="F40" s="2264"/>
      <c r="G40" s="2264"/>
      <c r="H40" s="2264"/>
      <c r="I40" s="2264"/>
      <c r="J40" s="226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09" t="s">
        <v>2043</v>
      </c>
      <c r="B41" s="125">
        <f>B42+B43</f>
        <v>5.6000000000000001E-2</v>
      </c>
      <c r="C41" s="1764"/>
      <c r="D41" s="1581"/>
      <c r="E41" s="2265"/>
      <c r="F41" s="2264"/>
      <c r="G41" s="2264"/>
      <c r="H41" s="2264"/>
      <c r="I41" s="2264"/>
      <c r="J41" s="226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7" t="s">
        <v>2044</v>
      </c>
      <c r="B42" s="126">
        <v>0.05</v>
      </c>
      <c r="C42" s="2318">
        <f>IF(B2&lt;DATE(2016,5,1),0,B42)</f>
        <v>0.05</v>
      </c>
      <c r="D42" s="2265"/>
      <c r="E42" s="2264"/>
      <c r="F42" s="2264"/>
      <c r="G42" s="2264"/>
      <c r="H42" s="2264"/>
      <c r="I42" s="2264"/>
      <c r="J42" s="226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7" t="s">
        <v>2045</v>
      </c>
      <c r="B43" s="127">
        <f>B42*(B44+B45+B46)+B47</f>
        <v>6.000000000000001E-3</v>
      </c>
      <c r="C43" s="1764"/>
      <c r="D43" s="2265"/>
      <c r="E43" s="2264"/>
      <c r="F43" s="2264"/>
      <c r="G43" s="2264"/>
      <c r="H43" s="2264"/>
      <c r="I43" s="2264"/>
      <c r="J43" s="226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19" t="s">
        <v>2046</v>
      </c>
      <c r="B44" s="128">
        <v>7.0000000000000007E-2</v>
      </c>
      <c r="C44" s="1763" t="s">
        <v>2047</v>
      </c>
      <c r="D44" s="2265"/>
      <c r="E44" s="2264"/>
      <c r="F44" s="2264"/>
      <c r="G44" s="2264"/>
      <c r="H44" s="2264"/>
      <c r="I44" s="2264"/>
      <c r="J44" s="226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19" t="s">
        <v>2048</v>
      </c>
      <c r="B45" s="126">
        <v>0.03</v>
      </c>
      <c r="C45" s="1764" t="s">
        <v>2049</v>
      </c>
      <c r="D45" s="2265"/>
      <c r="E45" s="2264"/>
      <c r="F45" s="2264"/>
      <c r="G45" s="2264"/>
      <c r="H45" s="2264"/>
      <c r="I45" s="2264"/>
      <c r="J45" s="226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19" t="s">
        <v>2050</v>
      </c>
      <c r="B46" s="126">
        <v>0.02</v>
      </c>
      <c r="C46" s="1764" t="s">
        <v>2051</v>
      </c>
      <c r="D46" s="2265"/>
      <c r="E46" s="2264"/>
      <c r="F46" s="2264"/>
      <c r="G46" s="2264"/>
      <c r="H46" s="2264"/>
      <c r="I46" s="2264"/>
      <c r="J46" s="226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0" t="s">
        <v>2052</v>
      </c>
      <c r="B47" s="129"/>
      <c r="C47" s="1764" t="s">
        <v>2053</v>
      </c>
      <c r="D47" s="2265"/>
      <c r="E47" s="2264"/>
      <c r="F47" s="2264"/>
      <c r="G47" s="2264"/>
      <c r="H47" s="2264"/>
      <c r="I47" s="2264"/>
      <c r="J47" s="226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1" t="s">
        <v>2054</v>
      </c>
      <c r="B48" s="130">
        <v>0.03</v>
      </c>
      <c r="C48" s="1771" t="s">
        <v>2055</v>
      </c>
      <c r="D48" s="2265"/>
      <c r="E48" s="2264"/>
      <c r="F48" s="2264"/>
      <c r="G48" s="2264"/>
      <c r="H48" s="2264"/>
      <c r="I48" s="2264"/>
      <c r="J48" s="226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6" t="s">
        <v>2056</v>
      </c>
      <c r="B49" s="126">
        <v>5.0000000000000001E-4</v>
      </c>
      <c r="C49" s="1771" t="s">
        <v>2057</v>
      </c>
      <c r="D49" s="2265"/>
      <c r="E49" s="2264"/>
      <c r="F49" s="2264"/>
      <c r="G49" s="2264"/>
      <c r="H49" s="2264"/>
      <c r="I49" s="2264"/>
      <c r="J49" s="226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2" t="s">
        <v>2058</v>
      </c>
      <c r="B50" s="131">
        <v>1.2E-2</v>
      </c>
      <c r="C50" s="1428"/>
      <c r="D50" s="2265"/>
      <c r="E50" s="2264"/>
      <c r="F50" s="2264"/>
      <c r="G50" s="2264"/>
      <c r="H50" s="2264"/>
      <c r="I50" s="2264"/>
      <c r="J50" s="226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4" t="s">
        <v>2059</v>
      </c>
      <c r="B51" s="132">
        <v>0.12</v>
      </c>
      <c r="C51" s="1428"/>
      <c r="D51" s="2265"/>
      <c r="E51" s="2264"/>
      <c r="F51" s="2264"/>
      <c r="G51" s="2264"/>
      <c r="H51" s="2264"/>
      <c r="I51" s="2264"/>
      <c r="J51" s="226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2" t="s">
        <v>2060</v>
      </c>
      <c r="B52" s="133">
        <f>SUMIF(A54:A63,B53,B54:B63)</f>
        <v>3</v>
      </c>
      <c r="C52" s="1428"/>
      <c r="D52" s="2265"/>
      <c r="E52" s="2264"/>
      <c r="F52" s="2264"/>
      <c r="G52" s="2264"/>
      <c r="H52" s="2264"/>
      <c r="I52" s="2264"/>
      <c r="J52" s="226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2" t="s">
        <v>2061</v>
      </c>
      <c r="B53" s="2323" t="s">
        <v>523</v>
      </c>
      <c r="C53" s="1428" t="s">
        <v>2062</v>
      </c>
      <c r="D53" s="2324" t="s">
        <v>2063</v>
      </c>
      <c r="E53" s="2264"/>
      <c r="F53" s="2264"/>
      <c r="G53" s="2264"/>
      <c r="H53" s="2264"/>
      <c r="I53" s="2264"/>
      <c r="J53" s="226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5" t="s">
        <v>2064</v>
      </c>
      <c r="B54" s="84">
        <f>C54</f>
        <v>30</v>
      </c>
      <c r="C54" s="1428">
        <v>30</v>
      </c>
      <c r="D54" s="2265"/>
      <c r="E54" s="2264"/>
      <c r="F54" s="2264"/>
      <c r="G54" s="2264"/>
      <c r="H54" s="2264"/>
      <c r="I54" s="2264"/>
      <c r="J54" s="226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5" t="s">
        <v>2065</v>
      </c>
      <c r="B55" s="84">
        <f t="shared" ref="B55:B59" si="12">C55</f>
        <v>24</v>
      </c>
      <c r="C55" s="1428">
        <v>24</v>
      </c>
      <c r="D55" s="2265"/>
      <c r="E55" s="2264"/>
      <c r="F55" s="2264"/>
      <c r="G55" s="2264"/>
      <c r="H55" s="2264"/>
      <c r="I55" s="2326"/>
      <c r="J55" s="226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5" t="s">
        <v>2066</v>
      </c>
      <c r="B56" s="84">
        <f t="shared" si="12"/>
        <v>18</v>
      </c>
      <c r="C56" s="1428">
        <v>18</v>
      </c>
      <c r="D56" s="2265"/>
      <c r="E56" s="2264"/>
      <c r="F56" s="2264"/>
      <c r="G56" s="2264"/>
      <c r="H56" s="2264"/>
      <c r="I56" s="2264"/>
      <c r="J56" s="226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5" t="s">
        <v>2067</v>
      </c>
      <c r="B57" s="84">
        <f t="shared" si="12"/>
        <v>12</v>
      </c>
      <c r="C57" s="1428">
        <v>12</v>
      </c>
      <c r="D57" s="2265"/>
      <c r="E57" s="2264"/>
      <c r="F57" s="2264"/>
      <c r="G57" s="2264"/>
      <c r="H57" s="2264"/>
      <c r="I57" s="2264"/>
      <c r="J57" s="226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5" t="s">
        <v>2068</v>
      </c>
      <c r="B58" s="84">
        <f t="shared" si="12"/>
        <v>3</v>
      </c>
      <c r="C58" s="1428">
        <v>3</v>
      </c>
      <c r="D58" s="2265"/>
      <c r="E58" s="2264"/>
      <c r="F58" s="2264"/>
      <c r="G58" s="2264"/>
      <c r="H58" s="2264"/>
      <c r="I58" s="2264"/>
      <c r="J58" s="226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5" t="s">
        <v>2069</v>
      </c>
      <c r="B59" s="84">
        <f t="shared" si="12"/>
        <v>1.5</v>
      </c>
      <c r="C59" s="1428">
        <v>1.5</v>
      </c>
      <c r="D59" s="2265"/>
      <c r="E59" s="2264"/>
      <c r="F59" s="2264"/>
      <c r="G59" s="2264"/>
      <c r="H59" s="2264"/>
      <c r="I59" s="2264"/>
      <c r="J59" s="226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5" t="s">
        <v>2070</v>
      </c>
      <c r="B60" s="84"/>
      <c r="C60" s="2264"/>
      <c r="D60" s="2265"/>
      <c r="E60" s="2264"/>
      <c r="F60" s="2264"/>
      <c r="G60" s="2264"/>
      <c r="H60" s="2264"/>
      <c r="I60" s="2264"/>
      <c r="J60" s="226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5" t="s">
        <v>2071</v>
      </c>
      <c r="B61" s="84"/>
      <c r="C61" s="2264"/>
      <c r="D61" s="2265"/>
      <c r="E61" s="2264"/>
      <c r="F61" s="2264"/>
      <c r="G61" s="2264"/>
      <c r="H61" s="2264"/>
      <c r="I61" s="2264"/>
      <c r="J61" s="226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5" t="s">
        <v>2072</v>
      </c>
      <c r="B62" s="84"/>
      <c r="C62" s="2264"/>
      <c r="D62" s="2265"/>
      <c r="E62" s="2264"/>
      <c r="F62" s="2264"/>
      <c r="G62" s="2264"/>
      <c r="H62" s="2264"/>
      <c r="I62" s="2264"/>
      <c r="J62" s="226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7" t="s">
        <v>2073</v>
      </c>
      <c r="B63" s="134"/>
      <c r="C63" s="2264"/>
      <c r="D63" s="2265"/>
      <c r="E63" s="2264"/>
      <c r="F63" s="2264"/>
      <c r="G63" s="2264"/>
      <c r="H63" s="2264"/>
      <c r="I63" s="2264"/>
      <c r="J63" s="226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7" customFormat="1">
      <c r="A64" s="2328"/>
      <c r="D64" s="2329"/>
      <c r="K64" s="798"/>
      <c r="L64" s="798"/>
    </row>
    <row r="65" spans="1:12" s="967" customFormat="1">
      <c r="A65" s="2328"/>
      <c r="D65" s="2329"/>
      <c r="K65" s="798"/>
      <c r="L65" s="798"/>
    </row>
    <row r="66" spans="1:12" s="967" customFormat="1">
      <c r="A66" s="2328"/>
      <c r="D66" s="2329"/>
      <c r="K66" s="798"/>
      <c r="L66" s="798"/>
    </row>
    <row r="67" spans="1:12" s="967" customFormat="1">
      <c r="A67" s="2328"/>
      <c r="D67" s="2329"/>
      <c r="K67" s="798"/>
      <c r="L67" s="798"/>
    </row>
    <row r="68" spans="1:12" s="967" customFormat="1">
      <c r="A68" s="2328"/>
      <c r="D68" s="2329"/>
      <c r="K68" s="798"/>
      <c r="L68" s="798"/>
    </row>
    <row r="69" spans="1:12" s="967" customFormat="1">
      <c r="A69" s="2328"/>
      <c r="D69" s="2329"/>
      <c r="K69" s="798"/>
      <c r="L69" s="798"/>
    </row>
    <row r="70" spans="1:12" s="967" customFormat="1">
      <c r="A70" s="2328"/>
      <c r="D70" s="2329"/>
      <c r="K70" s="798"/>
      <c r="L70" s="798"/>
    </row>
    <row r="71" spans="1:12" s="967" customFormat="1">
      <c r="A71" s="2328"/>
      <c r="D71" s="2329"/>
      <c r="K71" s="798"/>
      <c r="L71" s="798"/>
    </row>
    <row r="72" spans="1:12" s="967" customFormat="1">
      <c r="A72" s="2328"/>
      <c r="D72" s="2329"/>
      <c r="K72" s="798"/>
      <c r="L72" s="798"/>
    </row>
    <row r="73" spans="1:12" s="967" customFormat="1">
      <c r="A73" s="2328"/>
      <c r="D73" s="2329"/>
      <c r="K73" s="798"/>
      <c r="L73" s="798"/>
    </row>
    <row r="74" spans="1:12" s="967" customFormat="1">
      <c r="A74" s="2328"/>
      <c r="D74" s="2329"/>
      <c r="K74" s="798"/>
      <c r="L74" s="798"/>
    </row>
    <row r="75" spans="1:12" s="967" customFormat="1">
      <c r="A75" s="2328"/>
      <c r="D75" s="2329"/>
      <c r="K75" s="798"/>
      <c r="L75" s="798"/>
    </row>
    <row r="76" spans="1:12" s="967" customFormat="1">
      <c r="A76" s="2328"/>
      <c r="D76" s="2329"/>
      <c r="K76" s="798"/>
      <c r="L76" s="798"/>
    </row>
    <row r="77" spans="1:12" s="967" customFormat="1">
      <c r="A77" s="2328"/>
      <c r="D77" s="2329"/>
      <c r="K77" s="798"/>
      <c r="L77" s="798"/>
    </row>
    <row r="78" spans="1:12" s="967" customFormat="1">
      <c r="A78" s="2328"/>
      <c r="D78" s="2329"/>
      <c r="K78" s="798"/>
      <c r="L78" s="798"/>
    </row>
    <row r="79" spans="1:12" s="967" customFormat="1">
      <c r="A79" s="2328"/>
      <c r="D79" s="2329"/>
      <c r="K79" s="798"/>
      <c r="L79" s="798"/>
    </row>
    <row r="80" spans="1:12" s="967" customFormat="1">
      <c r="A80" s="2328"/>
      <c r="D80" s="2329"/>
      <c r="K80" s="798"/>
      <c r="L80" s="798"/>
    </row>
    <row r="81" spans="1:12" s="967" customFormat="1">
      <c r="A81" s="2328"/>
      <c r="D81" s="2329"/>
      <c r="K81" s="798"/>
      <c r="L81" s="798"/>
    </row>
    <row r="82" spans="1:12" s="967" customFormat="1">
      <c r="A82" s="2328"/>
      <c r="D82" s="2329"/>
      <c r="K82" s="798"/>
      <c r="L82" s="798"/>
    </row>
    <row r="83" spans="1:12" s="967" customFormat="1">
      <c r="A83" s="2328"/>
      <c r="D83" s="2329"/>
      <c r="K83" s="798"/>
      <c r="L83" s="798"/>
    </row>
    <row r="84" spans="1:12" s="967" customFormat="1">
      <c r="A84" s="2328"/>
      <c r="D84" s="2329"/>
      <c r="K84" s="798"/>
      <c r="L84" s="798"/>
    </row>
    <row r="85" spans="1:12" s="967" customFormat="1">
      <c r="A85" s="2328"/>
      <c r="D85" s="2329"/>
      <c r="K85" s="798"/>
      <c r="L85" s="798"/>
    </row>
    <row r="86" spans="1:12" s="967" customFormat="1">
      <c r="A86" s="2328"/>
      <c r="D86" s="2329"/>
      <c r="K86" s="798"/>
      <c r="L86" s="798"/>
    </row>
    <row r="87" spans="1:12" s="967" customFormat="1">
      <c r="A87" s="2328"/>
      <c r="D87" s="2329"/>
      <c r="K87" s="798"/>
      <c r="L87" s="798"/>
    </row>
    <row r="88" spans="1:12" s="967" customFormat="1">
      <c r="A88" s="2328"/>
      <c r="D88" s="2329"/>
      <c r="K88" s="798"/>
      <c r="L88" s="798"/>
    </row>
    <row r="89" spans="1:12" s="967" customFormat="1">
      <c r="A89" s="2328"/>
      <c r="D89" s="2329"/>
      <c r="K89" s="798"/>
      <c r="L89" s="798"/>
    </row>
    <row r="90" spans="1:12" s="967" customFormat="1">
      <c r="A90" s="2328"/>
      <c r="D90" s="2329"/>
      <c r="K90" s="798"/>
      <c r="L90" s="798"/>
    </row>
    <row r="91" spans="1:12" s="967" customFormat="1">
      <c r="A91" s="2328"/>
      <c r="D91" s="2329"/>
      <c r="K91" s="798"/>
      <c r="L91" s="798"/>
    </row>
    <row r="92" spans="1:12" s="967" customFormat="1">
      <c r="A92" s="2328"/>
      <c r="D92" s="2329"/>
      <c r="K92" s="798"/>
      <c r="L92" s="798"/>
    </row>
    <row r="93" spans="1:12" s="967" customFormat="1">
      <c r="A93" s="2328"/>
      <c r="D93" s="2329"/>
      <c r="K93" s="798"/>
      <c r="L93" s="798"/>
    </row>
    <row r="94" spans="1:12" s="967" customFormat="1">
      <c r="A94" s="2328"/>
      <c r="D94" s="2329"/>
      <c r="K94" s="798"/>
      <c r="L94" s="798"/>
    </row>
    <row r="95" spans="1:12" s="967" customFormat="1">
      <c r="A95" s="2328"/>
      <c r="D95" s="2329"/>
      <c r="K95" s="798"/>
      <c r="L95" s="798"/>
    </row>
    <row r="96" spans="1:12" s="967" customFormat="1">
      <c r="A96" s="2328"/>
      <c r="D96" s="2329"/>
      <c r="K96" s="798"/>
      <c r="L96" s="798"/>
    </row>
    <row r="97" spans="1:12" s="967" customFormat="1">
      <c r="A97" s="2328"/>
      <c r="D97" s="2329"/>
      <c r="K97" s="798"/>
      <c r="L97" s="798"/>
    </row>
    <row r="98" spans="1:12" s="967" customFormat="1">
      <c r="A98" s="2328"/>
      <c r="D98" s="2329"/>
      <c r="K98" s="798"/>
      <c r="L98" s="798"/>
    </row>
    <row r="99" spans="1:12" s="967" customFormat="1">
      <c r="A99" s="2328"/>
      <c r="D99" s="2329"/>
      <c r="K99" s="798"/>
      <c r="L99" s="798"/>
    </row>
    <row r="100" spans="1:12" s="967" customFormat="1">
      <c r="A100" s="2328"/>
      <c r="D100" s="2329"/>
      <c r="K100" s="798"/>
      <c r="L100" s="798"/>
    </row>
    <row r="101" spans="1:12" s="967" customFormat="1">
      <c r="A101" s="2328"/>
      <c r="D101" s="2329"/>
      <c r="K101" s="798"/>
      <c r="L101" s="798"/>
    </row>
    <row r="102" spans="1:12" s="967" customFormat="1">
      <c r="A102" s="2328"/>
      <c r="D102" s="2329"/>
      <c r="K102" s="798"/>
      <c r="L102" s="798"/>
    </row>
    <row r="103" spans="1:12" s="967" customFormat="1">
      <c r="A103" s="2328"/>
      <c r="D103" s="2329"/>
      <c r="K103" s="798"/>
      <c r="L103" s="798"/>
    </row>
    <row r="104" spans="1:12" s="967" customFormat="1">
      <c r="A104" s="2328"/>
      <c r="D104" s="2329"/>
      <c r="K104" s="798"/>
      <c r="L104" s="798"/>
    </row>
    <row r="105" spans="1:12" s="967" customFormat="1">
      <c r="A105" s="2328"/>
      <c r="D105" s="2329"/>
      <c r="K105" s="798"/>
      <c r="L105" s="798"/>
    </row>
    <row r="106" spans="1:12" s="967" customFormat="1">
      <c r="A106" s="2328"/>
      <c r="D106" s="2329"/>
      <c r="K106" s="798"/>
      <c r="L106" s="798"/>
    </row>
    <row r="107" spans="1:12" s="967" customFormat="1">
      <c r="A107" s="2328"/>
      <c r="D107" s="2329"/>
      <c r="K107" s="798"/>
      <c r="L107" s="798"/>
    </row>
    <row r="108" spans="1:12" s="967" customFormat="1">
      <c r="A108" s="2328"/>
      <c r="D108" s="2329"/>
      <c r="K108" s="798"/>
      <c r="L108" s="798"/>
    </row>
    <row r="109" spans="1:12" s="967" customFormat="1">
      <c r="A109" s="2328"/>
      <c r="D109" s="2329"/>
      <c r="K109" s="798"/>
      <c r="L109" s="798"/>
    </row>
    <row r="110" spans="1:12" s="967" customFormat="1">
      <c r="A110" s="2328"/>
      <c r="D110" s="2329"/>
      <c r="K110" s="798"/>
      <c r="L110" s="798"/>
    </row>
    <row r="111" spans="1:12" s="967" customFormat="1">
      <c r="A111" s="2328"/>
      <c r="D111" s="2329"/>
      <c r="K111" s="798"/>
      <c r="L111" s="798"/>
    </row>
    <row r="112" spans="1:12" s="967" customFormat="1">
      <c r="A112" s="2328"/>
      <c r="D112" s="2329"/>
      <c r="K112" s="798"/>
      <c r="L112" s="798"/>
    </row>
    <row r="113" spans="1:12" s="967" customFormat="1">
      <c r="A113" s="2328"/>
      <c r="D113" s="2329"/>
      <c r="K113" s="798"/>
      <c r="L113" s="798"/>
    </row>
    <row r="114" spans="1:12" s="967" customFormat="1">
      <c r="A114" s="2328"/>
      <c r="D114" s="2329"/>
      <c r="K114" s="798"/>
      <c r="L114" s="798"/>
    </row>
    <row r="115" spans="1:12" s="967" customFormat="1">
      <c r="A115" s="2328"/>
      <c r="D115" s="2329"/>
      <c r="K115" s="798"/>
      <c r="L115" s="798"/>
    </row>
    <row r="116" spans="1:12" s="967" customFormat="1">
      <c r="A116" s="2328"/>
      <c r="D116" s="2329"/>
      <c r="K116" s="798"/>
      <c r="L116" s="798"/>
    </row>
    <row r="117" spans="1:12" s="967" customFormat="1">
      <c r="A117" s="2328"/>
      <c r="D117" s="2329"/>
      <c r="K117" s="798"/>
      <c r="L117" s="798"/>
    </row>
    <row r="118" spans="1:12" s="967" customFormat="1">
      <c r="A118" s="2328"/>
      <c r="D118" s="2329"/>
      <c r="K118" s="798"/>
      <c r="L118" s="798"/>
    </row>
    <row r="119" spans="1:12" s="967" customFormat="1">
      <c r="A119" s="2328"/>
      <c r="D119" s="2329"/>
      <c r="K119" s="798"/>
      <c r="L119" s="798"/>
    </row>
    <row r="120" spans="1:12" s="967" customFormat="1">
      <c r="A120" s="2328"/>
      <c r="D120" s="2329"/>
      <c r="K120" s="798"/>
      <c r="L120" s="798"/>
    </row>
    <row r="121" spans="1:12" s="967" customFormat="1">
      <c r="A121" s="2328"/>
      <c r="D121" s="2329"/>
      <c r="K121" s="798"/>
      <c r="L121" s="798"/>
    </row>
    <row r="122" spans="1:12" s="967" customFormat="1">
      <c r="A122" s="2328"/>
      <c r="D122" s="2329"/>
      <c r="K122" s="798"/>
      <c r="L122" s="798"/>
    </row>
    <row r="123" spans="1:12" s="967" customFormat="1">
      <c r="A123" s="2328"/>
      <c r="D123" s="2329"/>
      <c r="K123" s="798"/>
      <c r="L123" s="798"/>
    </row>
    <row r="124" spans="1:12" s="967" customFormat="1">
      <c r="A124" s="2328"/>
      <c r="D124" s="2329"/>
      <c r="K124" s="798"/>
      <c r="L124" s="798"/>
    </row>
    <row r="125" spans="1:12" s="967" customFormat="1">
      <c r="A125" s="2328"/>
      <c r="D125" s="2329"/>
      <c r="K125" s="798"/>
      <c r="L125" s="798"/>
    </row>
    <row r="126" spans="1:12" s="967" customFormat="1">
      <c r="A126" s="2328"/>
      <c r="D126" s="2329"/>
      <c r="K126" s="798"/>
      <c r="L126" s="798"/>
    </row>
    <row r="127" spans="1:12" s="967" customFormat="1">
      <c r="A127" s="2328"/>
      <c r="D127" s="2329"/>
      <c r="K127" s="798"/>
      <c r="L127" s="798"/>
    </row>
    <row r="128" spans="1:12" s="967" customFormat="1">
      <c r="A128" s="2328"/>
      <c r="D128" s="2329"/>
      <c r="K128" s="798"/>
      <c r="L128" s="798"/>
    </row>
    <row r="129" spans="1:12" s="967" customFormat="1">
      <c r="A129" s="2328"/>
      <c r="D129" s="2329"/>
      <c r="K129" s="798"/>
      <c r="L129" s="798"/>
    </row>
    <row r="130" spans="1:12" s="967" customFormat="1">
      <c r="A130" s="2328"/>
      <c r="D130" s="2329"/>
      <c r="K130" s="798"/>
      <c r="L130" s="798"/>
    </row>
    <row r="131" spans="1:12" s="967" customFormat="1">
      <c r="A131" s="2328"/>
      <c r="D131" s="2329"/>
      <c r="K131" s="798"/>
      <c r="L131" s="798"/>
    </row>
    <row r="132" spans="1:12" s="967" customFormat="1">
      <c r="A132" s="2328"/>
      <c r="D132" s="2329"/>
      <c r="K132" s="798"/>
      <c r="L132" s="798"/>
    </row>
    <row r="133" spans="1:12" s="967"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2356"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5"/>
    <col min="30" max="16384" width="9" style="2356"/>
  </cols>
  <sheetData>
    <row r="1" spans="1:29" s="2349" customFormat="1" ht="19.5" thickBot="1">
      <c r="A1" s="3071" t="s">
        <v>2074</v>
      </c>
      <c r="B1" s="3072"/>
      <c r="C1" s="3072"/>
      <c r="D1" s="3072"/>
      <c r="E1" s="3072"/>
      <c r="F1" s="3072"/>
      <c r="G1" s="3072"/>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2075</v>
      </c>
      <c r="D2" s="2353"/>
      <c r="E2" s="2354"/>
      <c r="F2" s="2273"/>
      <c r="G2" s="2352" t="s">
        <v>2076</v>
      </c>
      <c r="H2" s="2355"/>
      <c r="I2" s="2355"/>
      <c r="J2" s="2355"/>
      <c r="K2" s="2355"/>
      <c r="L2" s="2355"/>
      <c r="M2" s="2355"/>
      <c r="N2" s="2355"/>
      <c r="O2" s="2355"/>
      <c r="P2" s="2355"/>
      <c r="Q2" s="2355"/>
      <c r="R2" s="2355"/>
    </row>
    <row r="3" spans="1:29" ht="54">
      <c r="A3" s="415" t="s">
        <v>2077</v>
      </c>
      <c r="B3" s="1269" t="s">
        <v>2078</v>
      </c>
      <c r="C3" s="2357" t="s">
        <v>2079</v>
      </c>
      <c r="D3" s="2358"/>
      <c r="E3" s="431" t="s">
        <v>2077</v>
      </c>
      <c r="F3" s="2359" t="s">
        <v>2080</v>
      </c>
      <c r="G3" s="2360" t="s">
        <v>2081</v>
      </c>
      <c r="H3" s="2355"/>
      <c r="I3" s="2355"/>
      <c r="J3" s="2355"/>
      <c r="K3" s="2355"/>
      <c r="L3" s="2355"/>
      <c r="M3" s="2355"/>
      <c r="N3" s="2355"/>
      <c r="O3" s="2355"/>
      <c r="P3" s="2355"/>
      <c r="Q3" s="2355"/>
      <c r="R3" s="2355"/>
    </row>
    <row r="4" spans="1:29" ht="41.25">
      <c r="A4" s="431"/>
      <c r="B4" s="1795" t="s">
        <v>2082</v>
      </c>
      <c r="C4" s="2361" t="s">
        <v>2083</v>
      </c>
      <c r="D4" s="2358"/>
      <c r="E4" s="2362"/>
      <c r="F4" s="42" t="s">
        <v>2084</v>
      </c>
      <c r="G4" s="2363" t="s">
        <v>2085</v>
      </c>
      <c r="H4" s="2355"/>
      <c r="I4" s="2355"/>
      <c r="J4" s="2355"/>
      <c r="K4" s="2355"/>
      <c r="L4" s="2355"/>
      <c r="M4" s="2355"/>
      <c r="N4" s="2355"/>
      <c r="O4" s="2355"/>
      <c r="P4" s="2355"/>
      <c r="Q4" s="2355"/>
      <c r="R4" s="2355"/>
    </row>
    <row r="5" spans="1:29" ht="67.5">
      <c r="A5" s="431"/>
      <c r="B5" s="1795" t="s">
        <v>2086</v>
      </c>
      <c r="C5" s="2950" t="s">
        <v>3071</v>
      </c>
      <c r="D5" s="2358"/>
      <c r="E5" s="2362"/>
      <c r="F5" s="1795" t="s">
        <v>2087</v>
      </c>
      <c r="G5" s="2363" t="s">
        <v>2088</v>
      </c>
      <c r="H5" s="2355"/>
      <c r="I5" s="2355"/>
      <c r="J5" s="2355"/>
      <c r="K5" s="2355"/>
      <c r="L5" s="2355"/>
      <c r="M5" s="2355"/>
      <c r="N5" s="2355"/>
      <c r="O5" s="2355"/>
      <c r="P5" s="2355"/>
      <c r="Q5" s="2355"/>
      <c r="R5" s="2355"/>
    </row>
    <row r="6" spans="1:29" ht="108">
      <c r="A6" s="431"/>
      <c r="B6" s="1795" t="s">
        <v>2089</v>
      </c>
      <c r="C6" s="2951" t="s">
        <v>3072</v>
      </c>
      <c r="D6" s="2358"/>
      <c r="E6" s="2362"/>
      <c r="F6" s="1795" t="s">
        <v>2090</v>
      </c>
      <c r="G6" s="2363" t="s">
        <v>2091</v>
      </c>
      <c r="H6" s="2355"/>
      <c r="I6" s="2355"/>
      <c r="J6" s="2355"/>
      <c r="K6" s="2355"/>
      <c r="L6" s="2355"/>
      <c r="M6" s="2355"/>
      <c r="N6" s="2355"/>
      <c r="O6" s="2355"/>
      <c r="P6" s="2355"/>
      <c r="Q6" s="2355"/>
      <c r="R6" s="2355"/>
    </row>
    <row r="7" spans="1:29" ht="122.25" thickBot="1">
      <c r="A7" s="431"/>
      <c r="B7" s="1795" t="s">
        <v>2087</v>
      </c>
      <c r="C7" s="2952" t="s">
        <v>3138</v>
      </c>
      <c r="D7" s="2364"/>
      <c r="E7" s="2365"/>
      <c r="F7" s="2366" t="s">
        <v>2092</v>
      </c>
      <c r="G7" s="2367" t="s">
        <v>2093</v>
      </c>
      <c r="H7" s="2355"/>
      <c r="I7" s="2355"/>
      <c r="J7" s="2355"/>
      <c r="K7" s="2355"/>
      <c r="L7" s="2355"/>
      <c r="M7" s="2355"/>
      <c r="N7" s="2355"/>
      <c r="O7" s="2355"/>
      <c r="P7" s="2355"/>
      <c r="Q7" s="2355"/>
      <c r="R7" s="2355"/>
    </row>
    <row r="8" spans="1:29" ht="27">
      <c r="A8" s="431"/>
      <c r="B8" s="1795" t="s">
        <v>2090</v>
      </c>
      <c r="C8" s="2953" t="s">
        <v>3073</v>
      </c>
      <c r="D8" s="2364"/>
      <c r="E8" s="2364"/>
      <c r="F8" s="1134"/>
      <c r="G8" s="1134"/>
      <c r="H8" s="2355"/>
      <c r="I8" s="2355"/>
      <c r="J8" s="2355"/>
      <c r="K8" s="2355"/>
      <c r="L8" s="2355"/>
      <c r="M8" s="2355"/>
      <c r="N8" s="2355"/>
      <c r="O8" s="2355"/>
      <c r="P8" s="2355"/>
      <c r="Q8" s="2355"/>
      <c r="R8" s="2355"/>
    </row>
    <row r="9" spans="1:29" ht="54">
      <c r="A9" s="431"/>
      <c r="B9" s="1795" t="s">
        <v>2094</v>
      </c>
      <c r="C9" s="2959" t="s">
        <v>3119</v>
      </c>
      <c r="D9" s="2358"/>
      <c r="E9" s="2364"/>
      <c r="F9" s="1134"/>
      <c r="G9" s="1134"/>
      <c r="H9" s="2355"/>
      <c r="I9" s="2355"/>
      <c r="J9" s="2355"/>
      <c r="K9" s="2355"/>
      <c r="L9" s="2355"/>
      <c r="M9" s="2355"/>
      <c r="N9" s="2355"/>
      <c r="O9" s="2355"/>
      <c r="P9" s="2355"/>
      <c r="Q9" s="2355"/>
      <c r="R9" s="2355"/>
    </row>
    <row r="10" spans="1:29" s="117" customFormat="1" ht="15.75" thickBot="1">
      <c r="A10" s="2368"/>
      <c r="B10" s="2369" t="s">
        <v>2095</v>
      </c>
      <c r="C10" s="2949" t="s">
        <v>3075</v>
      </c>
      <c r="D10" s="2358"/>
      <c r="E10" s="2358"/>
      <c r="F10" s="1134"/>
      <c r="G10" s="1134"/>
      <c r="H10" s="2370"/>
      <c r="I10" s="2371"/>
      <c r="J10" s="2372"/>
      <c r="K10" s="2370"/>
      <c r="L10" s="2371"/>
      <c r="M10" s="2372"/>
      <c r="N10" s="2370"/>
      <c r="O10" s="2371"/>
      <c r="P10" s="2372"/>
      <c r="Q10" s="2370"/>
      <c r="R10" s="2371"/>
      <c r="S10" s="2355"/>
      <c r="T10" s="2355"/>
      <c r="U10" s="2355"/>
      <c r="V10" s="2355"/>
      <c r="W10" s="2355"/>
      <c r="X10" s="2355"/>
      <c r="Y10" s="2355"/>
      <c r="Z10" s="2355"/>
      <c r="AA10" s="2355"/>
      <c r="AB10" s="2355"/>
      <c r="AC10" s="2355"/>
    </row>
    <row r="11" spans="1:29" s="117" customFormat="1" ht="15">
      <c r="A11" s="2373"/>
      <c r="B11" s="2364"/>
      <c r="C11" s="2358"/>
      <c r="D11" s="2358"/>
      <c r="E11" s="2358"/>
      <c r="F11" s="2364"/>
      <c r="G11" s="1152"/>
      <c r="H11" s="2370"/>
      <c r="I11" s="2371"/>
      <c r="J11" s="2372"/>
      <c r="K11" s="2370"/>
      <c r="L11" s="2371"/>
      <c r="M11" s="2372"/>
      <c r="N11" s="2370"/>
      <c r="O11" s="2371"/>
      <c r="P11" s="2372"/>
      <c r="Q11" s="2370"/>
      <c r="R11" s="2371"/>
      <c r="S11" s="2355"/>
      <c r="T11" s="2355"/>
      <c r="U11" s="2355"/>
      <c r="V11" s="2355"/>
      <c r="W11" s="2355"/>
      <c r="X11" s="2355"/>
      <c r="Y11" s="2355"/>
      <c r="Z11" s="2355"/>
      <c r="AA11" s="2355"/>
      <c r="AB11" s="2355"/>
      <c r="AC11" s="2355"/>
    </row>
    <row r="12" spans="1:29" s="2349" customFormat="1" ht="18">
      <c r="A12" s="2373"/>
      <c r="B12" s="2364"/>
      <c r="C12" s="2358"/>
      <c r="D12" s="2374"/>
      <c r="E12" s="2358"/>
      <c r="F12" s="2364"/>
      <c r="G12" s="1152"/>
      <c r="H12" s="2375"/>
      <c r="I12" s="2376"/>
      <c r="J12" s="2375"/>
      <c r="K12" s="2375"/>
      <c r="L12" s="2377"/>
      <c r="M12" s="2375"/>
      <c r="N12" s="2378"/>
      <c r="O12" s="2379"/>
      <c r="P12" s="2378"/>
      <c r="Q12" s="2378"/>
      <c r="R12" s="2347"/>
      <c r="S12" s="2348"/>
      <c r="T12" s="2348"/>
      <c r="U12" s="2348"/>
      <c r="V12" s="2348"/>
      <c r="W12" s="2348"/>
      <c r="X12" s="2348"/>
      <c r="Y12" s="2348"/>
      <c r="Z12" s="2348"/>
      <c r="AA12" s="2348"/>
      <c r="AB12" s="2348"/>
      <c r="AC12" s="2348"/>
    </row>
    <row r="13" spans="1:29" ht="19.5" thickBot="1">
      <c r="A13" s="2380" t="s">
        <v>2096</v>
      </c>
      <c r="B13" s="2374"/>
      <c r="C13" s="2374"/>
      <c r="D13" s="2381"/>
      <c r="E13" s="2374"/>
      <c r="F13" s="2374"/>
      <c r="G13" s="2374"/>
    </row>
    <row r="14" spans="1:29" ht="15.75" thickBot="1">
      <c r="A14" s="2385"/>
      <c r="B14" s="2386"/>
      <c r="C14" s="2387" t="s">
        <v>2097</v>
      </c>
      <c r="D14" s="2358"/>
      <c r="E14" s="2388"/>
      <c r="F14" s="2388"/>
      <c r="G14" s="2352" t="s">
        <v>2098</v>
      </c>
    </row>
    <row r="15" spans="1:29" ht="57">
      <c r="A15" s="68" t="s">
        <v>2099</v>
      </c>
      <c r="B15" s="1268" t="s">
        <v>2078</v>
      </c>
      <c r="C15" s="2389" t="str">
        <f>C3</f>
        <v>估价对象周边居住用地比例、居住小区规模和社区发展完善程度，综合评价居住社区成熟度一般</v>
      </c>
      <c r="D15" s="2358"/>
      <c r="E15" s="2390" t="s">
        <v>2100</v>
      </c>
      <c r="F15" s="1268" t="s">
        <v>2101</v>
      </c>
      <c r="G15" s="135" t="str">
        <f>G3</f>
        <v>估价对象位于XX开发区，园区建设成熟度XX，产业集聚程度XX</v>
      </c>
    </row>
    <row r="16" spans="1:29" ht="42.75">
      <c r="A16" s="645"/>
      <c r="B16" s="2391" t="s">
        <v>2082</v>
      </c>
      <c r="C16" s="2392" t="str">
        <f>C4</f>
        <v>估价对象位于XX商圈，周边商业氛围成熟，人流量大，商业繁华度好</v>
      </c>
      <c r="D16" s="2358"/>
      <c r="E16" s="2393"/>
      <c r="F16" s="2394" t="s">
        <v>2084</v>
      </c>
      <c r="G16" s="136" t="str">
        <f>G4</f>
        <v>估价对象周边道路状况、公共交通通达情况、停车便捷程度，综合评价交通便捷度较好</v>
      </c>
    </row>
    <row r="17" spans="1:18" ht="71.25">
      <c r="A17" s="645"/>
      <c r="B17" s="2391" t="s">
        <v>2086</v>
      </c>
      <c r="C17" s="2392" t="str">
        <f>C5</f>
        <v>估价对象位于科技园商圈，周边办公楼项目有总部基地，诺德中心，汉威大厦等，入驻率高，办公集聚程度较好</v>
      </c>
      <c r="D17" s="2364"/>
      <c r="E17" s="2393"/>
      <c r="F17" s="2394" t="s">
        <v>2102</v>
      </c>
      <c r="G17" s="1569"/>
    </row>
    <row r="18" spans="1:18" ht="114">
      <c r="A18" s="645"/>
      <c r="B18" s="2394" t="s">
        <v>2089</v>
      </c>
      <c r="C18" s="136" t="str">
        <f>C6</f>
        <v>估价对象所属项目北侧距南四环路约1公里，西距西五环约2公里，周边1公里以内有470、快速直达107.快速直达112，快速直达119、专63等公共交通线路，停车便捷程度，综合评价交通便捷度较好。</v>
      </c>
      <c r="D18" s="2364"/>
      <c r="E18" s="2393"/>
      <c r="F18" s="2394" t="s">
        <v>2092</v>
      </c>
      <c r="G18" s="136" t="str">
        <f>G7</f>
        <v>该园区内是否有污染型企业，绿化情况，卫生条件，整体环境状况判断</v>
      </c>
    </row>
    <row r="19" spans="1:18" ht="28.5">
      <c r="A19" s="645"/>
      <c r="B19" s="2394" t="s">
        <v>2103</v>
      </c>
      <c r="C19" s="1569"/>
      <c r="D19" s="2358"/>
      <c r="E19" s="2393"/>
      <c r="F19" s="1795" t="s">
        <v>2087</v>
      </c>
      <c r="G19" s="136" t="str">
        <f>G5</f>
        <v>估价对象所在区域公共配套设施齐备情况</v>
      </c>
    </row>
    <row r="20" spans="1:18" ht="57">
      <c r="A20" s="645"/>
      <c r="B20" s="2394" t="s">
        <v>2104</v>
      </c>
      <c r="C20" s="2392" t="str">
        <f>C9</f>
        <v>估价对象周边人文环境一般；有御康公园，自然环境一般；综合评价环境状况一般。</v>
      </c>
      <c r="D20" s="2364"/>
      <c r="E20" s="2393"/>
      <c r="F20" s="1795" t="s">
        <v>2105</v>
      </c>
      <c r="G20" s="136" t="str">
        <f>G6</f>
        <v>估价对象所在区域基础设施水平</v>
      </c>
    </row>
    <row r="21" spans="1:18" ht="128.25">
      <c r="A21" s="645"/>
      <c r="B21" s="1795" t="s">
        <v>2087</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58"/>
      <c r="E21" s="2393"/>
      <c r="F21" s="2394" t="s">
        <v>2106</v>
      </c>
      <c r="G21" s="2395"/>
    </row>
    <row r="22" spans="1:18" ht="13.5" customHeight="1">
      <c r="A22" s="645"/>
      <c r="B22" s="1795" t="s">
        <v>2090</v>
      </c>
      <c r="C22" s="136" t="str">
        <f>C8</f>
        <v>估价对象所在区域基础设施达五通。</v>
      </c>
      <c r="D22" s="2358"/>
      <c r="E22" s="2393"/>
      <c r="F22" s="2394" t="s">
        <v>2095</v>
      </c>
      <c r="G22" s="1569"/>
    </row>
    <row r="23" spans="1:18" s="2355" customFormat="1" ht="15.75" thickBot="1">
      <c r="A23" s="645"/>
      <c r="B23" s="2394" t="s">
        <v>2106</v>
      </c>
      <c r="C23" s="2395"/>
      <c r="D23" s="2382"/>
      <c r="E23" s="2396"/>
      <c r="F23" s="2397" t="s">
        <v>2107</v>
      </c>
      <c r="G23" s="2398"/>
      <c r="H23" s="2382"/>
      <c r="I23" s="2383"/>
      <c r="J23" s="2382"/>
      <c r="K23" s="2382"/>
      <c r="L23" s="2383"/>
      <c r="M23" s="2382"/>
      <c r="N23" s="2382"/>
      <c r="O23" s="2383"/>
      <c r="P23" s="2382"/>
      <c r="Q23" s="2382"/>
      <c r="R23" s="2384"/>
    </row>
    <row r="24" spans="1:18" s="2355" customFormat="1" ht="15.75" thickBot="1">
      <c r="A24" s="2399"/>
      <c r="B24" s="2397" t="s">
        <v>2108</v>
      </c>
      <c r="C24" s="137" t="str">
        <f>C10</f>
        <v>城市支路</v>
      </c>
      <c r="D24" s="2382"/>
      <c r="E24" s="2400"/>
      <c r="F24" s="2400"/>
      <c r="G24" s="2401"/>
      <c r="H24" s="2382"/>
      <c r="I24" s="2383"/>
      <c r="J24" s="2382"/>
      <c r="K24" s="2382"/>
      <c r="L24" s="2383"/>
      <c r="M24" s="2382"/>
      <c r="N24" s="2382"/>
      <c r="O24" s="2383"/>
      <c r="P24" s="2382"/>
      <c r="Q24" s="2382"/>
      <c r="R24" s="2384"/>
    </row>
    <row r="25" spans="1:18" s="2355" customFormat="1">
      <c r="B25" s="2382"/>
      <c r="C25" s="2382"/>
      <c r="D25" s="2382"/>
      <c r="H25" s="2382"/>
      <c r="I25" s="2383"/>
      <c r="J25" s="2382"/>
      <c r="K25" s="2382"/>
      <c r="L25" s="2383"/>
      <c r="M25" s="2382"/>
      <c r="N25" s="2382"/>
      <c r="O25" s="2383"/>
      <c r="P25" s="2382"/>
      <c r="Q25" s="2382"/>
      <c r="R25" s="2384"/>
    </row>
    <row r="26" spans="1:18" s="2355" customFormat="1">
      <c r="B26" s="2382"/>
      <c r="C26" s="2382"/>
      <c r="D26" s="2382"/>
      <c r="H26" s="2382"/>
      <c r="I26" s="2383"/>
      <c r="J26" s="2382"/>
      <c r="K26" s="2382"/>
      <c r="L26" s="2383"/>
      <c r="M26" s="2382"/>
      <c r="N26" s="2382"/>
      <c r="O26" s="2383"/>
      <c r="P26" s="2382"/>
      <c r="Q26" s="2382"/>
      <c r="R26" s="2384"/>
    </row>
    <row r="27" spans="1:18" s="2355" customFormat="1">
      <c r="B27" s="2382"/>
      <c r="C27" s="2382"/>
      <c r="D27" s="2382"/>
      <c r="H27" s="2382"/>
      <c r="I27" s="2383"/>
      <c r="J27" s="2382"/>
      <c r="K27" s="2382"/>
      <c r="L27" s="2383"/>
      <c r="M27" s="2382"/>
      <c r="N27" s="2382"/>
      <c r="O27" s="2383"/>
      <c r="P27" s="2382"/>
      <c r="Q27" s="2382"/>
      <c r="R27" s="2384"/>
    </row>
    <row r="28" spans="1:18" s="2355" customFormat="1">
      <c r="B28" s="2382"/>
      <c r="C28" s="2382"/>
      <c r="D28" s="2382"/>
      <c r="H28" s="2382"/>
      <c r="I28" s="2383"/>
      <c r="J28" s="2382"/>
      <c r="K28" s="2382"/>
      <c r="L28" s="2383"/>
      <c r="M28" s="2382"/>
      <c r="N28" s="2382"/>
      <c r="O28" s="2383"/>
      <c r="P28" s="2382"/>
      <c r="Q28" s="2382"/>
      <c r="R28" s="2384"/>
    </row>
    <row r="29" spans="1:18" s="2355" customFormat="1">
      <c r="B29" s="2382"/>
      <c r="C29" s="2382"/>
      <c r="D29" s="2382"/>
      <c r="H29" s="2382"/>
      <c r="I29" s="2383"/>
      <c r="J29" s="2382"/>
      <c r="K29" s="2382"/>
      <c r="L29" s="2383"/>
      <c r="M29" s="2382"/>
      <c r="N29" s="2382"/>
      <c r="O29" s="2383"/>
      <c r="P29" s="2382"/>
      <c r="Q29" s="2382"/>
      <c r="R29" s="2384"/>
    </row>
    <row r="30" spans="1:18" s="2355" customFormat="1">
      <c r="B30" s="2382"/>
      <c r="C30" s="2382"/>
      <c r="D30" s="2382"/>
      <c r="H30" s="2382"/>
      <c r="I30" s="2383"/>
      <c r="J30" s="2382"/>
      <c r="K30" s="2382"/>
      <c r="L30" s="2383"/>
      <c r="M30" s="2382"/>
      <c r="N30" s="2382"/>
      <c r="O30" s="2383"/>
      <c r="P30" s="2382"/>
      <c r="Q30" s="2382"/>
      <c r="R30" s="2384"/>
    </row>
    <row r="31" spans="1:18" s="2355" customFormat="1">
      <c r="B31" s="2382"/>
      <c r="C31" s="2382"/>
      <c r="D31" s="2382"/>
      <c r="H31" s="2382"/>
      <c r="I31" s="2383"/>
      <c r="J31" s="2382"/>
      <c r="K31" s="2382"/>
      <c r="L31" s="2383"/>
      <c r="M31" s="2382"/>
      <c r="N31" s="2382"/>
      <c r="O31" s="2383"/>
      <c r="P31" s="2382"/>
      <c r="Q31" s="2382"/>
      <c r="R31" s="2384"/>
    </row>
    <row r="32" spans="1:18" s="2355" customFormat="1">
      <c r="B32" s="2382"/>
      <c r="C32" s="2382"/>
      <c r="D32" s="2382"/>
      <c r="H32" s="2382"/>
      <c r="I32" s="2383"/>
      <c r="J32" s="2382"/>
      <c r="K32" s="2382"/>
      <c r="L32" s="2383"/>
      <c r="M32" s="2382"/>
      <c r="N32" s="2382"/>
      <c r="O32" s="2383"/>
      <c r="P32" s="2382"/>
      <c r="Q32" s="2382"/>
      <c r="R32" s="2384"/>
    </row>
    <row r="33" spans="2:18" s="2355" customFormat="1">
      <c r="B33" s="2382"/>
      <c r="C33" s="2382"/>
      <c r="D33" s="2382"/>
      <c r="H33" s="2382"/>
      <c r="I33" s="2383"/>
      <c r="J33" s="2382"/>
      <c r="K33" s="2382"/>
      <c r="L33" s="2383"/>
      <c r="M33" s="2382"/>
      <c r="N33" s="2382"/>
      <c r="O33" s="2383"/>
      <c r="P33" s="2382"/>
      <c r="Q33" s="2382"/>
      <c r="R33" s="2384"/>
    </row>
    <row r="34" spans="2:18" s="2355" customFormat="1">
      <c r="B34" s="2382"/>
      <c r="C34" s="2382"/>
      <c r="D34" s="2382"/>
      <c r="H34" s="2382"/>
      <c r="I34" s="2383"/>
      <c r="J34" s="2382"/>
      <c r="K34" s="2382"/>
      <c r="L34" s="2383"/>
      <c r="M34" s="2382"/>
      <c r="N34" s="2382"/>
      <c r="O34" s="2383"/>
      <c r="P34" s="2382"/>
      <c r="Q34" s="2382"/>
      <c r="R34" s="2384"/>
    </row>
    <row r="35" spans="2:18" s="2355" customFormat="1">
      <c r="B35" s="2382"/>
      <c r="C35" s="2382"/>
      <c r="D35" s="2382"/>
      <c r="H35" s="2382"/>
      <c r="I35" s="2383"/>
      <c r="J35" s="2382"/>
      <c r="K35" s="2382"/>
      <c r="L35" s="2383"/>
      <c r="M35" s="2382"/>
      <c r="N35" s="2382"/>
      <c r="O35" s="2383"/>
      <c r="P35" s="2382"/>
      <c r="Q35" s="2382"/>
      <c r="R35" s="2384"/>
    </row>
    <row r="36" spans="2:18" s="2355" customFormat="1">
      <c r="B36" s="2382"/>
      <c r="C36" s="2382"/>
      <c r="D36" s="2382"/>
      <c r="H36" s="2382"/>
      <c r="I36" s="2383"/>
      <c r="J36" s="2382"/>
      <c r="K36" s="2382"/>
      <c r="L36" s="2383"/>
      <c r="M36" s="2382"/>
      <c r="N36" s="2382"/>
      <c r="O36" s="2383"/>
      <c r="P36" s="2382"/>
      <c r="Q36" s="2382"/>
      <c r="R36" s="2384"/>
    </row>
    <row r="37" spans="2:18" s="2355" customFormat="1">
      <c r="B37" s="2382"/>
      <c r="C37" s="2382"/>
      <c r="D37" s="2382"/>
      <c r="H37" s="2382"/>
      <c r="I37" s="2383"/>
      <c r="J37" s="2382"/>
      <c r="K37" s="2382"/>
      <c r="L37" s="2383"/>
      <c r="M37" s="2382"/>
      <c r="N37" s="2382"/>
      <c r="O37" s="2383"/>
      <c r="P37" s="2382"/>
      <c r="Q37" s="2382"/>
      <c r="R37" s="2384"/>
    </row>
    <row r="38" spans="2:18" s="2355" customFormat="1">
      <c r="B38" s="2382"/>
      <c r="C38" s="2382"/>
      <c r="D38" s="2382"/>
      <c r="E38" s="2382"/>
      <c r="F38" s="2382"/>
      <c r="G38" s="2383"/>
      <c r="H38" s="2382"/>
      <c r="I38" s="2383"/>
      <c r="J38" s="2382"/>
      <c r="K38" s="2382"/>
      <c r="L38" s="2383"/>
      <c r="M38" s="2382"/>
      <c r="N38" s="2382"/>
      <c r="O38" s="2383"/>
      <c r="P38" s="2382"/>
      <c r="Q38" s="2382"/>
      <c r="R38" s="2384"/>
    </row>
    <row r="39" spans="2:18" s="2355" customFormat="1">
      <c r="B39" s="2382"/>
      <c r="C39" s="2382"/>
      <c r="D39" s="2382"/>
      <c r="E39" s="2382"/>
      <c r="F39" s="2382"/>
      <c r="G39" s="2383"/>
      <c r="H39" s="2382"/>
      <c r="I39" s="2383"/>
      <c r="J39" s="2382"/>
      <c r="K39" s="2382"/>
      <c r="L39" s="2383"/>
      <c r="M39" s="2382"/>
      <c r="N39" s="2382"/>
      <c r="O39" s="2383"/>
      <c r="P39" s="2382"/>
      <c r="Q39" s="2382"/>
      <c r="R39" s="2384"/>
    </row>
    <row r="40" spans="2:18" s="2355" customFormat="1">
      <c r="B40" s="2382"/>
      <c r="C40" s="2382"/>
      <c r="D40" s="2382"/>
      <c r="E40" s="2382"/>
      <c r="F40" s="2382"/>
      <c r="G40" s="2383"/>
      <c r="H40" s="2382"/>
      <c r="I40" s="2383"/>
      <c r="J40" s="2382"/>
      <c r="K40" s="2382"/>
      <c r="L40" s="2383"/>
      <c r="M40" s="2382"/>
      <c r="N40" s="2382"/>
      <c r="O40" s="2383"/>
      <c r="P40" s="2382"/>
      <c r="Q40" s="2382"/>
      <c r="R40" s="2384"/>
    </row>
    <row r="41" spans="2:18" s="2355" customFormat="1">
      <c r="B41" s="2382"/>
      <c r="C41" s="2382"/>
      <c r="D41" s="2382"/>
      <c r="E41" s="2382"/>
      <c r="F41" s="2382"/>
      <c r="G41" s="2383"/>
      <c r="H41" s="2382"/>
      <c r="I41" s="2383"/>
      <c r="J41" s="2382"/>
      <c r="K41" s="2382"/>
      <c r="L41" s="2383"/>
      <c r="M41" s="2382"/>
      <c r="N41" s="2382"/>
      <c r="O41" s="2383"/>
      <c r="P41" s="2382"/>
      <c r="Q41" s="2382"/>
      <c r="R41" s="2384"/>
    </row>
    <row r="42" spans="2:18" s="2355" customFormat="1">
      <c r="B42" s="2382"/>
      <c r="C42" s="2382"/>
      <c r="D42" s="2382"/>
      <c r="E42" s="2382"/>
      <c r="F42" s="2382"/>
      <c r="G42" s="2383"/>
      <c r="H42" s="2382"/>
      <c r="I42" s="2383"/>
      <c r="J42" s="2382"/>
      <c r="K42" s="2382"/>
      <c r="L42" s="2383"/>
      <c r="M42" s="2382"/>
      <c r="N42" s="2382"/>
      <c r="O42" s="2383"/>
      <c r="P42" s="2382"/>
      <c r="Q42" s="2382"/>
      <c r="R42" s="2384"/>
    </row>
    <row r="43" spans="2:18" s="2355" customFormat="1">
      <c r="B43" s="2382"/>
      <c r="C43" s="2382"/>
      <c r="D43" s="2382"/>
      <c r="E43" s="2382"/>
      <c r="F43" s="2382"/>
      <c r="G43" s="2383"/>
      <c r="H43" s="2382"/>
      <c r="I43" s="2383"/>
      <c r="J43" s="2382"/>
      <c r="K43" s="2382"/>
      <c r="L43" s="2383"/>
      <c r="M43" s="2382"/>
      <c r="N43" s="2382"/>
      <c r="O43" s="2383"/>
      <c r="P43" s="2382"/>
      <c r="Q43" s="2382"/>
      <c r="R43" s="2384"/>
    </row>
    <row r="44" spans="2:18" s="2355" customFormat="1">
      <c r="B44" s="2382"/>
      <c r="C44" s="2382"/>
      <c r="D44" s="2382"/>
      <c r="E44" s="2382"/>
      <c r="F44" s="2382"/>
      <c r="G44" s="2383"/>
      <c r="H44" s="2382"/>
      <c r="I44" s="2383"/>
      <c r="J44" s="2382"/>
      <c r="K44" s="2382"/>
      <c r="L44" s="2383"/>
      <c r="M44" s="2382"/>
      <c r="N44" s="2382"/>
      <c r="O44" s="2383"/>
      <c r="P44" s="2382"/>
      <c r="Q44" s="2382"/>
      <c r="R44" s="2384"/>
    </row>
    <row r="45" spans="2:18" s="2355" customFormat="1">
      <c r="B45" s="2382"/>
      <c r="C45" s="2382"/>
      <c r="D45" s="2382"/>
      <c r="E45" s="2382"/>
      <c r="F45" s="2382"/>
      <c r="G45" s="2383"/>
      <c r="H45" s="2382"/>
      <c r="I45" s="2383"/>
      <c r="J45" s="2382"/>
      <c r="K45" s="2382"/>
      <c r="L45" s="2383"/>
      <c r="M45" s="2382"/>
      <c r="N45" s="2382"/>
      <c r="O45" s="2383"/>
      <c r="P45" s="2382"/>
      <c r="Q45" s="2382"/>
      <c r="R45" s="2384"/>
    </row>
    <row r="46" spans="2:18" s="2355" customFormat="1">
      <c r="B46" s="2382"/>
      <c r="C46" s="2382"/>
      <c r="D46" s="2382"/>
      <c r="E46" s="2382"/>
      <c r="F46" s="2382"/>
      <c r="G46" s="2383"/>
      <c r="H46" s="2382"/>
      <c r="I46" s="2383"/>
      <c r="J46" s="2382"/>
      <c r="K46" s="2382"/>
      <c r="L46" s="2383"/>
      <c r="M46" s="2382"/>
      <c r="N46" s="2382"/>
      <c r="O46" s="2383"/>
      <c r="P46" s="2382"/>
      <c r="Q46" s="2382"/>
      <c r="R46" s="2384"/>
    </row>
    <row r="47" spans="2:18" s="2355" customFormat="1">
      <c r="B47" s="2382"/>
      <c r="C47" s="2382"/>
      <c r="D47" s="2382"/>
      <c r="E47" s="2382"/>
      <c r="F47" s="2382"/>
      <c r="G47" s="2383"/>
      <c r="H47" s="2382"/>
      <c r="I47" s="2383"/>
      <c r="J47" s="2382"/>
      <c r="K47" s="2382"/>
      <c r="L47" s="2383"/>
      <c r="M47" s="2382"/>
      <c r="N47" s="2382"/>
      <c r="O47" s="2383"/>
      <c r="P47" s="2382"/>
      <c r="Q47" s="2382"/>
      <c r="R47" s="2384"/>
    </row>
    <row r="48" spans="2:18" s="2355" customFormat="1">
      <c r="B48" s="2382"/>
      <c r="C48" s="2382"/>
      <c r="D48" s="2382"/>
      <c r="E48" s="2382"/>
      <c r="F48" s="2382"/>
      <c r="G48" s="2383"/>
      <c r="H48" s="2382"/>
      <c r="I48" s="2383"/>
      <c r="J48" s="2382"/>
      <c r="K48" s="2382"/>
      <c r="L48" s="2383"/>
      <c r="M48" s="2382"/>
      <c r="N48" s="2382"/>
      <c r="O48" s="2383"/>
      <c r="P48" s="2382"/>
      <c r="Q48" s="2382"/>
      <c r="R48" s="2384"/>
    </row>
    <row r="49" spans="2:18" s="2355" customFormat="1">
      <c r="B49" s="2382"/>
      <c r="C49" s="2382"/>
      <c r="D49" s="2382"/>
      <c r="E49" s="2382"/>
      <c r="F49" s="2382"/>
      <c r="G49" s="2383"/>
      <c r="H49" s="2382"/>
      <c r="I49" s="2383"/>
      <c r="J49" s="2382"/>
      <c r="K49" s="2382"/>
      <c r="L49" s="2383"/>
      <c r="M49" s="2382"/>
      <c r="N49" s="2382"/>
      <c r="O49" s="2383"/>
      <c r="P49" s="2382"/>
      <c r="Q49" s="2382"/>
      <c r="R49" s="2384"/>
    </row>
    <row r="50" spans="2:18" s="2355" customFormat="1">
      <c r="B50" s="2382"/>
      <c r="C50" s="2382"/>
      <c r="D50" s="2382"/>
      <c r="E50" s="2382"/>
      <c r="F50" s="2382"/>
      <c r="G50" s="2383"/>
      <c r="H50" s="2382"/>
      <c r="I50" s="2383"/>
      <c r="J50" s="2382"/>
      <c r="K50" s="2382"/>
      <c r="L50" s="2383"/>
      <c r="M50" s="2382"/>
      <c r="N50" s="2382"/>
      <c r="O50" s="2383"/>
      <c r="P50" s="2382"/>
      <c r="Q50" s="2382"/>
      <c r="R50" s="2384"/>
    </row>
    <row r="51" spans="2:18" s="2355" customFormat="1">
      <c r="B51" s="2382"/>
      <c r="C51" s="2382"/>
      <c r="D51" s="2382"/>
      <c r="E51" s="2382"/>
      <c r="F51" s="2382"/>
      <c r="G51" s="2383"/>
      <c r="H51" s="2382"/>
      <c r="I51" s="2383"/>
      <c r="J51" s="2382"/>
      <c r="K51" s="2382"/>
      <c r="L51" s="2383"/>
      <c r="M51" s="2382"/>
      <c r="N51" s="2382"/>
      <c r="O51" s="2383"/>
      <c r="P51" s="2382"/>
      <c r="Q51" s="2382"/>
      <c r="R51" s="2384"/>
    </row>
    <row r="52" spans="2:18" s="2355" customFormat="1">
      <c r="B52" s="2382"/>
      <c r="C52" s="2382"/>
      <c r="D52" s="2382"/>
      <c r="E52" s="2382"/>
      <c r="F52" s="2382"/>
      <c r="G52" s="2383"/>
      <c r="H52" s="2382"/>
      <c r="I52" s="2383"/>
      <c r="J52" s="2382"/>
      <c r="K52" s="2382"/>
      <c r="L52" s="2383"/>
      <c r="M52" s="2382"/>
      <c r="N52" s="2382"/>
      <c r="O52" s="2383"/>
      <c r="P52" s="2382"/>
      <c r="Q52" s="2382"/>
      <c r="R52" s="2384"/>
    </row>
    <row r="53" spans="2:18" s="2355" customFormat="1">
      <c r="B53" s="2382"/>
      <c r="C53" s="2382"/>
      <c r="D53" s="2382"/>
      <c r="E53" s="2382"/>
      <c r="F53" s="2382"/>
      <c r="G53" s="2383"/>
      <c r="H53" s="2382"/>
      <c r="I53" s="2383"/>
      <c r="J53" s="2382"/>
      <c r="K53" s="2382"/>
      <c r="L53" s="2383"/>
      <c r="M53" s="2382"/>
      <c r="N53" s="2382"/>
      <c r="O53" s="2383"/>
      <c r="P53" s="2382"/>
      <c r="Q53" s="2382"/>
      <c r="R53" s="2384"/>
    </row>
    <row r="54" spans="2:18" s="2355" customFormat="1">
      <c r="B54" s="2382"/>
      <c r="C54" s="2382"/>
      <c r="D54" s="2382"/>
      <c r="E54" s="2382"/>
      <c r="F54" s="2382"/>
      <c r="G54" s="2383"/>
      <c r="H54" s="2382"/>
      <c r="I54" s="2383"/>
      <c r="J54" s="2382"/>
      <c r="K54" s="2382"/>
      <c r="L54" s="2383"/>
      <c r="M54" s="2382"/>
      <c r="N54" s="2382"/>
      <c r="O54" s="2383"/>
      <c r="P54" s="2382"/>
      <c r="Q54" s="2382"/>
      <c r="R54" s="2384"/>
    </row>
    <row r="55" spans="2:18" s="2355" customFormat="1">
      <c r="B55" s="2382"/>
      <c r="C55" s="2382"/>
      <c r="D55" s="2382"/>
      <c r="E55" s="2382"/>
      <c r="F55" s="2382"/>
      <c r="G55" s="2383"/>
      <c r="H55" s="2382"/>
      <c r="I55" s="2383"/>
      <c r="J55" s="2382"/>
      <c r="K55" s="2382"/>
      <c r="L55" s="2383"/>
      <c r="M55" s="2382"/>
      <c r="N55" s="2382"/>
      <c r="O55" s="2383"/>
      <c r="P55" s="2382"/>
      <c r="Q55" s="2382"/>
      <c r="R55" s="2384"/>
    </row>
    <row r="56" spans="2:18" s="2355" customFormat="1">
      <c r="B56" s="2382"/>
      <c r="C56" s="2382"/>
      <c r="D56" s="2382"/>
      <c r="E56" s="2382"/>
      <c r="F56" s="2382"/>
      <c r="G56" s="2383"/>
      <c r="H56" s="2382"/>
      <c r="I56" s="2383"/>
      <c r="J56" s="2382"/>
      <c r="K56" s="2382"/>
      <c r="L56" s="2383"/>
      <c r="M56" s="2382"/>
      <c r="N56" s="2382"/>
      <c r="O56" s="2383"/>
      <c r="P56" s="2382"/>
      <c r="Q56" s="2382"/>
      <c r="R56" s="2384"/>
    </row>
    <row r="57" spans="2:18" s="2355" customFormat="1">
      <c r="B57" s="2382"/>
      <c r="C57" s="2382"/>
      <c r="D57" s="2382"/>
      <c r="E57" s="2382"/>
      <c r="F57" s="2382"/>
      <c r="G57" s="2383"/>
      <c r="H57" s="2382"/>
      <c r="I57" s="2383"/>
      <c r="J57" s="2382"/>
      <c r="K57" s="2382"/>
      <c r="L57" s="2383"/>
      <c r="M57" s="2382"/>
      <c r="N57" s="2382"/>
      <c r="O57" s="2383"/>
      <c r="P57" s="2382"/>
      <c r="Q57" s="2382"/>
      <c r="R57" s="2384"/>
    </row>
    <row r="58" spans="2:18" s="2355" customFormat="1">
      <c r="B58" s="2382"/>
      <c r="C58" s="2382"/>
      <c r="D58" s="2382"/>
      <c r="E58" s="2382"/>
      <c r="F58" s="2382"/>
      <c r="G58" s="2383"/>
      <c r="H58" s="2382"/>
      <c r="I58" s="2383"/>
      <c r="J58" s="2382"/>
      <c r="K58" s="2382"/>
      <c r="L58" s="2383"/>
      <c r="M58" s="2382"/>
      <c r="N58" s="2382"/>
      <c r="O58" s="2383"/>
      <c r="P58" s="2382"/>
      <c r="Q58" s="2382"/>
      <c r="R58" s="2384"/>
    </row>
    <row r="59" spans="2:18" s="2355" customFormat="1">
      <c r="B59" s="2382"/>
      <c r="C59" s="2382"/>
      <c r="D59" s="2382"/>
      <c r="E59" s="2382"/>
      <c r="F59" s="2382"/>
      <c r="G59" s="2383"/>
      <c r="H59" s="2382"/>
      <c r="I59" s="2383"/>
      <c r="J59" s="2382"/>
      <c r="K59" s="2382"/>
      <c r="L59" s="2383"/>
      <c r="M59" s="2382"/>
      <c r="N59" s="2382"/>
      <c r="O59" s="2383"/>
      <c r="P59" s="2382"/>
      <c r="Q59" s="2382"/>
      <c r="R59" s="2384"/>
    </row>
    <row r="60" spans="2:18" s="2355" customFormat="1">
      <c r="B60" s="2382"/>
      <c r="C60" s="2382"/>
      <c r="D60" s="2382"/>
      <c r="E60" s="2382"/>
      <c r="F60" s="2382"/>
      <c r="G60" s="2383"/>
      <c r="H60" s="2382"/>
      <c r="I60" s="2383"/>
      <c r="J60" s="2382"/>
      <c r="K60" s="2382"/>
      <c r="L60" s="2383"/>
      <c r="M60" s="2382"/>
      <c r="N60" s="2382"/>
      <c r="O60" s="2383"/>
      <c r="P60" s="2382"/>
      <c r="Q60" s="2382"/>
      <c r="R60" s="2384"/>
    </row>
    <row r="61" spans="2:18" s="2355" customFormat="1">
      <c r="B61" s="2382"/>
      <c r="C61" s="2382"/>
      <c r="D61" s="2382"/>
      <c r="E61" s="2382"/>
      <c r="F61" s="2382"/>
      <c r="G61" s="2383"/>
      <c r="H61" s="2382"/>
      <c r="I61" s="2383"/>
      <c r="J61" s="2382"/>
      <c r="K61" s="2382"/>
      <c r="L61" s="2383"/>
      <c r="M61" s="2382"/>
      <c r="N61" s="2382"/>
      <c r="O61" s="2383"/>
      <c r="P61" s="2382"/>
      <c r="Q61" s="2382"/>
      <c r="R61" s="2384"/>
    </row>
    <row r="62" spans="2:18" s="2355" customFormat="1">
      <c r="B62" s="2382"/>
      <c r="C62" s="2382"/>
      <c r="D62" s="2382"/>
      <c r="E62" s="2382"/>
      <c r="F62" s="2382"/>
      <c r="G62" s="2383"/>
      <c r="H62" s="2382"/>
      <c r="I62" s="2383"/>
      <c r="J62" s="2382"/>
      <c r="K62" s="2382"/>
      <c r="L62" s="2383"/>
      <c r="M62" s="2382"/>
      <c r="N62" s="2382"/>
      <c r="O62" s="2383"/>
      <c r="P62" s="2382"/>
      <c r="Q62" s="2382"/>
      <c r="R62" s="2384"/>
    </row>
    <row r="63" spans="2:18" s="2355" customFormat="1">
      <c r="B63" s="2382"/>
      <c r="C63" s="2382"/>
      <c r="D63" s="2382"/>
      <c r="E63" s="2382"/>
      <c r="F63" s="2382"/>
      <c r="G63" s="2383"/>
      <c r="H63" s="2382"/>
      <c r="I63" s="2383"/>
      <c r="J63" s="2382"/>
      <c r="K63" s="2382"/>
      <c r="L63" s="2383"/>
      <c r="M63" s="2382"/>
      <c r="N63" s="2382"/>
      <c r="O63" s="2383"/>
      <c r="P63" s="2382"/>
      <c r="Q63" s="2382"/>
      <c r="R63" s="2384"/>
    </row>
    <row r="64" spans="2:18" s="2355" customFormat="1">
      <c r="B64" s="2382"/>
      <c r="C64" s="2382"/>
      <c r="D64" s="2382"/>
      <c r="E64" s="2382"/>
      <c r="F64" s="2382"/>
      <c r="G64" s="2383"/>
      <c r="H64" s="2382"/>
      <c r="I64" s="2383"/>
      <c r="J64" s="2382"/>
      <c r="K64" s="2382"/>
      <c r="L64" s="2383"/>
      <c r="M64" s="2382"/>
      <c r="N64" s="2382"/>
      <c r="O64" s="2383"/>
      <c r="P64" s="2382"/>
      <c r="Q64" s="2382"/>
      <c r="R64" s="2384"/>
    </row>
    <row r="65" spans="2:18" s="2355" customFormat="1">
      <c r="B65" s="2382"/>
      <c r="C65" s="2382"/>
      <c r="D65" s="2382"/>
      <c r="E65" s="2382"/>
      <c r="F65" s="2382"/>
      <c r="G65" s="2383"/>
      <c r="H65" s="2382"/>
      <c r="I65" s="2383"/>
      <c r="J65" s="2382"/>
      <c r="K65" s="2382"/>
      <c r="L65" s="2383"/>
      <c r="M65" s="2382"/>
      <c r="N65" s="2382"/>
      <c r="O65" s="2383"/>
      <c r="P65" s="2382"/>
      <c r="Q65" s="2382"/>
      <c r="R65" s="2384"/>
    </row>
    <row r="66" spans="2:18" s="2355" customFormat="1">
      <c r="B66" s="2382"/>
      <c r="C66" s="2382"/>
      <c r="D66" s="2382"/>
      <c r="E66" s="2382"/>
      <c r="F66" s="2382"/>
      <c r="G66" s="2383"/>
      <c r="H66" s="2382"/>
      <c r="I66" s="2383"/>
      <c r="J66" s="2382"/>
      <c r="K66" s="2382"/>
      <c r="L66" s="2383"/>
      <c r="M66" s="2382"/>
      <c r="N66" s="2382"/>
      <c r="O66" s="2383"/>
      <c r="P66" s="2382"/>
      <c r="Q66" s="2382"/>
      <c r="R66" s="2384"/>
    </row>
    <row r="67" spans="2:18" s="2355" customFormat="1">
      <c r="B67" s="2382"/>
      <c r="C67" s="2382"/>
      <c r="D67" s="2382"/>
      <c r="E67" s="2382"/>
      <c r="F67" s="2382"/>
      <c r="G67" s="2383"/>
      <c r="H67" s="2382"/>
      <c r="I67" s="2383"/>
      <c r="J67" s="2382"/>
      <c r="K67" s="2382"/>
      <c r="L67" s="2383"/>
      <c r="M67" s="2382"/>
      <c r="N67" s="2382"/>
      <c r="O67" s="2383"/>
      <c r="P67" s="2382"/>
      <c r="Q67" s="2382"/>
      <c r="R67" s="2384"/>
    </row>
    <row r="68" spans="2:18" s="2355" customFormat="1">
      <c r="B68" s="2382"/>
      <c r="C68" s="2382"/>
      <c r="D68" s="2382"/>
      <c r="E68" s="2382"/>
      <c r="F68" s="2382"/>
      <c r="G68" s="2383"/>
      <c r="H68" s="2382"/>
      <c r="I68" s="2383"/>
      <c r="J68" s="2382"/>
      <c r="K68" s="2382"/>
      <c r="L68" s="2383"/>
      <c r="M68" s="2382"/>
      <c r="N68" s="2382"/>
      <c r="O68" s="2383"/>
      <c r="P68" s="2382"/>
      <c r="Q68" s="2382"/>
      <c r="R68" s="2384"/>
    </row>
    <row r="69" spans="2:18" s="2355" customFormat="1">
      <c r="B69" s="2382"/>
      <c r="C69" s="2382"/>
      <c r="D69" s="2382"/>
      <c r="E69" s="2382"/>
      <c r="F69" s="2382"/>
      <c r="G69" s="2383"/>
      <c r="H69" s="2382"/>
      <c r="I69" s="2383"/>
      <c r="J69" s="2382"/>
      <c r="K69" s="2382"/>
      <c r="L69" s="2383"/>
      <c r="M69" s="2382"/>
      <c r="N69" s="2382"/>
      <c r="O69" s="2383"/>
      <c r="P69" s="2382"/>
      <c r="Q69" s="2382"/>
      <c r="R69" s="2384"/>
    </row>
    <row r="70" spans="2:18" s="2355" customFormat="1">
      <c r="B70" s="2382"/>
      <c r="C70" s="2382"/>
      <c r="D70" s="2382"/>
      <c r="E70" s="2382"/>
      <c r="F70" s="2382"/>
      <c r="G70" s="2383"/>
      <c r="H70" s="2382"/>
      <c r="I70" s="2383"/>
      <c r="J70" s="2382"/>
      <c r="K70" s="2382"/>
      <c r="L70" s="2383"/>
      <c r="M70" s="2382"/>
      <c r="N70" s="2382"/>
      <c r="O70" s="2383"/>
      <c r="P70" s="2382"/>
      <c r="Q70" s="2382"/>
      <c r="R70" s="2384"/>
    </row>
    <row r="71" spans="2:18" s="2355" customFormat="1">
      <c r="B71" s="2382"/>
      <c r="C71" s="2382"/>
      <c r="D71" s="2382"/>
      <c r="E71" s="2382"/>
      <c r="F71" s="2382"/>
      <c r="G71" s="2383"/>
      <c r="H71" s="2382"/>
      <c r="I71" s="2383"/>
      <c r="J71" s="2382"/>
      <c r="K71" s="2382"/>
      <c r="L71" s="2383"/>
      <c r="M71" s="2382"/>
      <c r="N71" s="2382"/>
      <c r="O71" s="2383"/>
      <c r="P71" s="2382"/>
      <c r="Q71" s="2382"/>
      <c r="R71" s="2384"/>
    </row>
    <row r="72" spans="2:18" s="2355" customFormat="1">
      <c r="B72" s="2382"/>
      <c r="C72" s="2382"/>
      <c r="D72" s="2382"/>
      <c r="E72" s="2382"/>
      <c r="F72" s="2382"/>
      <c r="G72" s="2383"/>
      <c r="H72" s="2382"/>
      <c r="I72" s="2383"/>
      <c r="J72" s="2382"/>
      <c r="K72" s="2382"/>
      <c r="L72" s="2383"/>
      <c r="M72" s="2382"/>
      <c r="N72" s="2382"/>
      <c r="O72" s="2383"/>
      <c r="P72" s="2382"/>
      <c r="Q72" s="2382"/>
      <c r="R72" s="2384"/>
    </row>
    <row r="73" spans="2:18" s="2355" customFormat="1">
      <c r="B73" s="2382"/>
      <c r="C73" s="2382"/>
      <c r="D73" s="2382"/>
      <c r="E73" s="2382"/>
      <c r="F73" s="2382"/>
      <c r="G73" s="2383"/>
      <c r="H73" s="2382"/>
      <c r="I73" s="2383"/>
      <c r="J73" s="2382"/>
      <c r="K73" s="2382"/>
      <c r="L73" s="2383"/>
      <c r="M73" s="2382"/>
      <c r="N73" s="2382"/>
      <c r="O73" s="2383"/>
      <c r="P73" s="2382"/>
      <c r="Q73" s="2382"/>
      <c r="R73" s="2384"/>
    </row>
    <row r="74" spans="2:18" s="2355" customFormat="1">
      <c r="B74" s="2382"/>
      <c r="C74" s="2382"/>
      <c r="D74" s="2382"/>
      <c r="E74" s="2382"/>
      <c r="F74" s="2382"/>
      <c r="G74" s="2383"/>
      <c r="H74" s="2382"/>
      <c r="I74" s="2383"/>
      <c r="J74" s="2382"/>
      <c r="K74" s="2382"/>
      <c r="L74" s="2383"/>
      <c r="M74" s="2382"/>
      <c r="N74" s="2382"/>
      <c r="O74" s="2383"/>
      <c r="P74" s="2382"/>
      <c r="Q74" s="2382"/>
      <c r="R74" s="2384"/>
    </row>
    <row r="75" spans="2:18" s="2355" customFormat="1">
      <c r="B75" s="2382"/>
      <c r="C75" s="2382"/>
      <c r="D75" s="2382"/>
      <c r="E75" s="2382"/>
      <c r="F75" s="2382"/>
      <c r="G75" s="2383"/>
      <c r="H75" s="2382"/>
      <c r="I75" s="2383"/>
      <c r="J75" s="2382"/>
      <c r="K75" s="2382"/>
      <c r="L75" s="2383"/>
      <c r="M75" s="2382"/>
      <c r="N75" s="2382"/>
      <c r="O75" s="2383"/>
      <c r="P75" s="2382"/>
      <c r="Q75" s="2382"/>
      <c r="R75" s="2384"/>
    </row>
    <row r="76" spans="2:18" s="2355" customFormat="1">
      <c r="B76" s="2382"/>
      <c r="C76" s="2382"/>
      <c r="D76" s="2382"/>
      <c r="E76" s="2382"/>
      <c r="F76" s="2382"/>
      <c r="G76" s="2383"/>
      <c r="H76" s="2382"/>
      <c r="I76" s="2383"/>
      <c r="J76" s="2382"/>
      <c r="K76" s="2382"/>
      <c r="L76" s="2383"/>
      <c r="M76" s="2382"/>
      <c r="N76" s="2382"/>
      <c r="O76" s="2383"/>
      <c r="P76" s="2382"/>
      <c r="Q76" s="2382"/>
      <c r="R76" s="2384"/>
    </row>
    <row r="77" spans="2:18" s="2355" customFormat="1">
      <c r="B77" s="2382"/>
      <c r="C77" s="2382"/>
      <c r="D77" s="2382"/>
      <c r="E77" s="2382"/>
      <c r="F77" s="2382"/>
      <c r="G77" s="2383"/>
      <c r="H77" s="2382"/>
      <c r="I77" s="2383"/>
      <c r="J77" s="2382"/>
      <c r="K77" s="2382"/>
      <c r="L77" s="2383"/>
      <c r="M77" s="2382"/>
      <c r="N77" s="2382"/>
      <c r="O77" s="2383"/>
      <c r="P77" s="2382"/>
      <c r="Q77" s="2382"/>
      <c r="R77" s="2384"/>
    </row>
    <row r="78" spans="2:18" s="2355" customFormat="1">
      <c r="B78" s="2382"/>
      <c r="C78" s="2382"/>
      <c r="D78" s="2382"/>
      <c r="E78" s="2382"/>
      <c r="F78" s="2382"/>
      <c r="G78" s="2383"/>
      <c r="H78" s="2382"/>
      <c r="I78" s="2383"/>
      <c r="J78" s="2382"/>
      <c r="K78" s="2382"/>
      <c r="L78" s="2383"/>
      <c r="M78" s="2382"/>
      <c r="N78" s="2382"/>
      <c r="O78" s="2383"/>
      <c r="P78" s="2382"/>
      <c r="Q78" s="2382"/>
      <c r="R78" s="2384"/>
    </row>
    <row r="79" spans="2:18" s="2355" customFormat="1">
      <c r="B79" s="2382"/>
      <c r="C79" s="2382"/>
      <c r="D79" s="2382"/>
      <c r="E79" s="2382"/>
      <c r="F79" s="2382"/>
      <c r="G79" s="2383"/>
      <c r="H79" s="2382"/>
      <c r="I79" s="2383"/>
      <c r="J79" s="2382"/>
      <c r="K79" s="2382"/>
      <c r="L79" s="2383"/>
      <c r="M79" s="2382"/>
      <c r="N79" s="2382"/>
      <c r="O79" s="2383"/>
      <c r="P79" s="2382"/>
      <c r="Q79" s="2382"/>
      <c r="R79" s="2384"/>
    </row>
    <row r="80" spans="2:18" s="2355" customFormat="1">
      <c r="B80" s="2382"/>
      <c r="C80" s="2382"/>
      <c r="D80" s="2382"/>
      <c r="E80" s="2382"/>
      <c r="F80" s="2382"/>
      <c r="G80" s="2383"/>
      <c r="H80" s="2382"/>
      <c r="I80" s="2383"/>
      <c r="J80" s="2382"/>
      <c r="K80" s="2382"/>
      <c r="L80" s="2383"/>
      <c r="M80" s="2382"/>
      <c r="N80" s="2382"/>
      <c r="O80" s="2383"/>
      <c r="P80" s="2382"/>
      <c r="Q80" s="2382"/>
      <c r="R80" s="2384"/>
    </row>
    <row r="81" spans="2:18" s="2355" customFormat="1">
      <c r="B81" s="2382"/>
      <c r="C81" s="2382"/>
      <c r="D81" s="2382"/>
      <c r="E81" s="2382"/>
      <c r="F81" s="2382"/>
      <c r="G81" s="2383"/>
      <c r="H81" s="2382"/>
      <c r="I81" s="2383"/>
      <c r="J81" s="2382"/>
      <c r="K81" s="2382"/>
      <c r="L81" s="2383"/>
      <c r="M81" s="2382"/>
      <c r="N81" s="2382"/>
      <c r="O81" s="2383"/>
      <c r="P81" s="2382"/>
      <c r="Q81" s="2382"/>
      <c r="R81" s="2384"/>
    </row>
    <row r="82" spans="2:18" s="2355" customFormat="1">
      <c r="B82" s="2382"/>
      <c r="C82" s="2382"/>
      <c r="D82" s="2382"/>
      <c r="E82" s="2382"/>
      <c r="F82" s="2382"/>
      <c r="G82" s="2383"/>
      <c r="H82" s="2382"/>
      <c r="I82" s="2383"/>
      <c r="J82" s="2382"/>
      <c r="K82" s="2382"/>
      <c r="L82" s="2383"/>
      <c r="M82" s="2382"/>
      <c r="N82" s="2382"/>
      <c r="O82" s="2383"/>
      <c r="P82" s="2382"/>
      <c r="Q82" s="2382"/>
      <c r="R82" s="2384"/>
    </row>
    <row r="83" spans="2:18" s="2355" customFormat="1">
      <c r="B83" s="2382"/>
      <c r="C83" s="2382"/>
      <c r="D83" s="2382"/>
      <c r="E83" s="2382"/>
      <c r="F83" s="2382"/>
      <c r="G83" s="2383"/>
      <c r="H83" s="2382"/>
      <c r="I83" s="2383"/>
      <c r="J83" s="2382"/>
      <c r="K83" s="2382"/>
      <c r="L83" s="2383"/>
      <c r="M83" s="2382"/>
      <c r="N83" s="2382"/>
      <c r="O83" s="2383"/>
      <c r="P83" s="2382"/>
      <c r="Q83" s="2382"/>
      <c r="R83" s="2384"/>
    </row>
    <row r="84" spans="2:18" s="2355" customFormat="1">
      <c r="B84" s="2382"/>
      <c r="C84" s="2382"/>
      <c r="D84" s="2382"/>
      <c r="E84" s="2382"/>
      <c r="F84" s="2382"/>
      <c r="G84" s="2383"/>
      <c r="H84" s="2382"/>
      <c r="I84" s="2383"/>
      <c r="J84" s="2382"/>
      <c r="K84" s="2382"/>
      <c r="L84" s="2383"/>
      <c r="M84" s="2382"/>
      <c r="N84" s="2382"/>
      <c r="O84" s="2383"/>
      <c r="P84" s="2382"/>
      <c r="Q84" s="2382"/>
      <c r="R84" s="2384"/>
    </row>
    <row r="85" spans="2:18" s="2355" customFormat="1">
      <c r="B85" s="2382"/>
      <c r="C85" s="2382"/>
      <c r="D85" s="2382"/>
      <c r="E85" s="2382"/>
      <c r="F85" s="2382"/>
      <c r="G85" s="2383"/>
      <c r="H85" s="2382"/>
      <c r="I85" s="2383"/>
      <c r="J85" s="2382"/>
      <c r="K85" s="2382"/>
      <c r="L85" s="2383"/>
      <c r="M85" s="2382"/>
      <c r="N85" s="2382"/>
      <c r="O85" s="2383"/>
      <c r="P85" s="2382"/>
      <c r="Q85" s="2382"/>
      <c r="R85" s="2384"/>
    </row>
    <row r="86" spans="2:18" s="2355" customFormat="1">
      <c r="B86" s="2382"/>
      <c r="C86" s="2382"/>
      <c r="D86" s="2382"/>
      <c r="E86" s="2382"/>
      <c r="F86" s="2382"/>
      <c r="G86" s="2383"/>
      <c r="H86" s="2382"/>
      <c r="I86" s="2383"/>
      <c r="J86" s="2382"/>
      <c r="K86" s="2382"/>
      <c r="L86" s="2383"/>
      <c r="M86" s="2382"/>
      <c r="N86" s="2382"/>
      <c r="O86" s="2383"/>
      <c r="P86" s="2382"/>
      <c r="Q86" s="2382"/>
      <c r="R86" s="2384"/>
    </row>
    <row r="87" spans="2:18" s="2355" customFormat="1">
      <c r="B87" s="2382"/>
      <c r="C87" s="2382"/>
      <c r="D87" s="2382"/>
      <c r="E87" s="2382"/>
      <c r="F87" s="2382"/>
      <c r="G87" s="2383"/>
      <c r="H87" s="2382"/>
      <c r="I87" s="2383"/>
      <c r="J87" s="2382"/>
      <c r="K87" s="2382"/>
      <c r="L87" s="2383"/>
      <c r="M87" s="2382"/>
      <c r="N87" s="2382"/>
      <c r="O87" s="2383"/>
      <c r="P87" s="2382"/>
      <c r="Q87" s="2382"/>
      <c r="R87" s="2384"/>
    </row>
    <row r="88" spans="2:18" s="2355" customFormat="1">
      <c r="B88" s="2382"/>
      <c r="C88" s="2382"/>
      <c r="D88" s="2382"/>
      <c r="E88" s="2382"/>
      <c r="F88" s="2382"/>
      <c r="G88" s="2383"/>
      <c r="H88" s="2382"/>
      <c r="I88" s="2383"/>
      <c r="J88" s="2382"/>
      <c r="K88" s="2382"/>
      <c r="L88" s="2383"/>
      <c r="M88" s="2382"/>
      <c r="N88" s="2382"/>
      <c r="O88" s="2383"/>
      <c r="P88" s="2382"/>
      <c r="Q88" s="2382"/>
      <c r="R88" s="2384"/>
    </row>
    <row r="89" spans="2:18" s="2355" customFormat="1">
      <c r="B89" s="2382"/>
      <c r="C89" s="2382"/>
      <c r="D89" s="2382"/>
      <c r="E89" s="2382"/>
      <c r="F89" s="2382"/>
      <c r="G89" s="2383"/>
      <c r="H89" s="2382"/>
      <c r="I89" s="2383"/>
      <c r="J89" s="2382"/>
      <c r="K89" s="2382"/>
      <c r="L89" s="2383"/>
      <c r="M89" s="2382"/>
      <c r="N89" s="2382"/>
      <c r="O89" s="2383"/>
      <c r="P89" s="2382"/>
      <c r="Q89" s="2382"/>
      <c r="R89" s="2384"/>
    </row>
    <row r="90" spans="2:18" s="2355" customFormat="1">
      <c r="B90" s="2382"/>
      <c r="C90" s="2382"/>
      <c r="D90" s="2382"/>
      <c r="E90" s="2382"/>
      <c r="F90" s="2382"/>
      <c r="G90" s="2383"/>
      <c r="H90" s="2382"/>
      <c r="I90" s="2383"/>
      <c r="J90" s="2382"/>
      <c r="K90" s="2382"/>
      <c r="L90" s="2383"/>
      <c r="M90" s="2382"/>
      <c r="N90" s="2382"/>
      <c r="O90" s="2383"/>
      <c r="P90" s="2382"/>
      <c r="Q90" s="2382"/>
      <c r="R90" s="2384"/>
    </row>
    <row r="91" spans="2:18" s="2355" customFormat="1">
      <c r="B91" s="2382"/>
      <c r="C91" s="2382"/>
      <c r="D91" s="2382"/>
      <c r="E91" s="2382"/>
      <c r="F91" s="2382"/>
      <c r="G91" s="2383"/>
      <c r="H91" s="2382"/>
      <c r="I91" s="2383"/>
      <c r="J91" s="2382"/>
      <c r="K91" s="2382"/>
      <c r="L91" s="2383"/>
      <c r="M91" s="2382"/>
      <c r="N91" s="2382"/>
      <c r="O91" s="2383"/>
      <c r="P91" s="2382"/>
      <c r="Q91" s="2382"/>
      <c r="R91" s="2384"/>
    </row>
    <row r="92" spans="2:18" s="2355" customFormat="1">
      <c r="B92" s="2382"/>
      <c r="C92" s="2382"/>
      <c r="D92" s="2382"/>
      <c r="E92" s="2382"/>
      <c r="F92" s="2382"/>
      <c r="G92" s="2383"/>
      <c r="H92" s="2382"/>
      <c r="I92" s="2383"/>
      <c r="J92" s="2382"/>
      <c r="K92" s="2382"/>
      <c r="L92" s="2383"/>
      <c r="M92" s="2382"/>
      <c r="N92" s="2382"/>
      <c r="O92" s="2383"/>
      <c r="P92" s="2382"/>
      <c r="Q92" s="2382"/>
      <c r="R92" s="2384"/>
    </row>
    <row r="93" spans="2:18" s="2355" customFormat="1">
      <c r="B93" s="2382"/>
      <c r="C93" s="2382"/>
      <c r="D93" s="2382"/>
      <c r="E93" s="2382"/>
      <c r="F93" s="2382"/>
      <c r="G93" s="2383"/>
      <c r="H93" s="2382"/>
      <c r="I93" s="2383"/>
      <c r="J93" s="2382"/>
      <c r="K93" s="2382"/>
      <c r="L93" s="2383"/>
      <c r="M93" s="2382"/>
      <c r="N93" s="2382"/>
      <c r="O93" s="2383"/>
      <c r="P93" s="2382"/>
      <c r="Q93" s="2382"/>
      <c r="R93" s="2384"/>
    </row>
    <row r="94" spans="2:18" s="2355" customFormat="1">
      <c r="B94" s="2382"/>
      <c r="C94" s="2382"/>
      <c r="D94" s="2382"/>
      <c r="E94" s="2382"/>
      <c r="F94" s="2382"/>
      <c r="G94" s="2383"/>
      <c r="H94" s="2382"/>
      <c r="I94" s="2383"/>
      <c r="J94" s="2382"/>
      <c r="K94" s="2382"/>
      <c r="L94" s="2383"/>
      <c r="M94" s="2382"/>
      <c r="N94" s="2382"/>
      <c r="O94" s="2383"/>
      <c r="P94" s="2382"/>
      <c r="Q94" s="2382"/>
      <c r="R94" s="2384"/>
    </row>
    <row r="95" spans="2:18" s="2355" customFormat="1">
      <c r="B95" s="2382"/>
      <c r="C95" s="2382"/>
      <c r="D95" s="2382"/>
      <c r="E95" s="2382"/>
      <c r="F95" s="2382"/>
      <c r="G95" s="2383"/>
      <c r="H95" s="2382"/>
      <c r="I95" s="2383"/>
      <c r="J95" s="2382"/>
      <c r="K95" s="2382"/>
      <c r="L95" s="2383"/>
      <c r="M95" s="2382"/>
      <c r="N95" s="2382"/>
      <c r="O95" s="2383"/>
      <c r="P95" s="2382"/>
      <c r="Q95" s="2382"/>
      <c r="R95" s="2384"/>
    </row>
    <row r="96" spans="2:18" s="2355" customFormat="1">
      <c r="B96" s="2382"/>
      <c r="C96" s="2382"/>
      <c r="D96" s="2382"/>
      <c r="E96" s="2382"/>
      <c r="F96" s="2382"/>
      <c r="G96" s="2383"/>
      <c r="H96" s="2382"/>
      <c r="I96" s="2383"/>
      <c r="J96" s="2382"/>
      <c r="K96" s="2382"/>
      <c r="L96" s="2383"/>
      <c r="M96" s="2382"/>
      <c r="N96" s="2382"/>
      <c r="O96" s="2383"/>
      <c r="P96" s="2382"/>
      <c r="Q96" s="2382"/>
      <c r="R96" s="2384"/>
    </row>
    <row r="97" spans="2:18" s="2355" customFormat="1">
      <c r="B97" s="2382"/>
      <c r="C97" s="2382"/>
      <c r="D97" s="2382"/>
      <c r="E97" s="2382"/>
      <c r="F97" s="2382"/>
      <c r="G97" s="2383"/>
      <c r="H97" s="2382"/>
      <c r="I97" s="2383"/>
      <c r="J97" s="2382"/>
      <c r="K97" s="2382"/>
      <c r="L97" s="2383"/>
      <c r="M97" s="2382"/>
      <c r="N97" s="2382"/>
      <c r="O97" s="2383"/>
      <c r="P97" s="2382"/>
      <c r="Q97" s="2382"/>
      <c r="R97" s="2384"/>
    </row>
    <row r="98" spans="2:18" s="2355" customFormat="1">
      <c r="B98" s="2382"/>
      <c r="C98" s="2382"/>
      <c r="D98" s="2382"/>
      <c r="E98" s="2382"/>
      <c r="F98" s="2382"/>
      <c r="G98" s="2383"/>
      <c r="H98" s="2382"/>
      <c r="I98" s="2383"/>
      <c r="J98" s="2382"/>
      <c r="K98" s="2382"/>
      <c r="L98" s="2383"/>
      <c r="M98" s="2382"/>
      <c r="N98" s="2382"/>
      <c r="O98" s="2383"/>
      <c r="P98" s="2382"/>
      <c r="Q98" s="2382"/>
      <c r="R98" s="2384"/>
    </row>
    <row r="99" spans="2:18" s="2355" customFormat="1">
      <c r="B99" s="2382"/>
      <c r="C99" s="2382"/>
      <c r="D99" s="2382"/>
      <c r="E99" s="2382"/>
      <c r="F99" s="2382"/>
      <c r="G99" s="2383"/>
      <c r="H99" s="2382"/>
      <c r="I99" s="2383"/>
      <c r="J99" s="2382"/>
      <c r="K99" s="2382"/>
      <c r="L99" s="2383"/>
      <c r="M99" s="2382"/>
      <c r="N99" s="2382"/>
      <c r="O99" s="2383"/>
      <c r="P99" s="2382"/>
      <c r="Q99" s="2382"/>
      <c r="R99" s="2384"/>
    </row>
    <row r="100" spans="2:18" s="2355" customFormat="1">
      <c r="B100" s="2382"/>
      <c r="C100" s="2382"/>
      <c r="D100" s="2382"/>
      <c r="E100" s="2382"/>
      <c r="F100" s="2382"/>
      <c r="G100" s="2383"/>
      <c r="H100" s="2382"/>
      <c r="I100" s="2383"/>
      <c r="J100" s="2382"/>
      <c r="K100" s="2382"/>
      <c r="L100" s="2383"/>
      <c r="M100" s="2382"/>
      <c r="N100" s="2382"/>
      <c r="O100" s="2383"/>
      <c r="P100" s="2382"/>
      <c r="Q100" s="2382"/>
      <c r="R100" s="2384"/>
    </row>
    <row r="101" spans="2:18" s="2355" customFormat="1">
      <c r="B101" s="2382"/>
      <c r="C101" s="2382"/>
      <c r="D101" s="2382"/>
      <c r="E101" s="2382"/>
      <c r="F101" s="2382"/>
      <c r="G101" s="2383"/>
      <c r="H101" s="2382"/>
      <c r="I101" s="2383"/>
      <c r="J101" s="2382"/>
      <c r="K101" s="2382"/>
      <c r="L101" s="2383"/>
      <c r="M101" s="2382"/>
      <c r="N101" s="2382"/>
      <c r="O101" s="2383"/>
      <c r="P101" s="2382"/>
      <c r="Q101" s="2382"/>
      <c r="R101" s="2384"/>
    </row>
    <row r="102" spans="2:18" s="2355" customFormat="1">
      <c r="B102" s="2382"/>
      <c r="C102" s="2382"/>
      <c r="D102" s="2382"/>
      <c r="E102" s="2382"/>
      <c r="F102" s="2382"/>
      <c r="G102" s="2383"/>
      <c r="H102" s="2382"/>
      <c r="I102" s="2383"/>
      <c r="J102" s="2382"/>
      <c r="K102" s="2382"/>
      <c r="L102" s="2383"/>
      <c r="M102" s="2382"/>
      <c r="N102" s="2382"/>
      <c r="O102" s="2383"/>
      <c r="P102" s="2382"/>
      <c r="Q102" s="2382"/>
      <c r="R102" s="2384"/>
    </row>
    <row r="103" spans="2:18" s="2355" customFormat="1">
      <c r="B103" s="2382"/>
      <c r="C103" s="2382"/>
      <c r="D103" s="2382"/>
      <c r="E103" s="2382"/>
      <c r="F103" s="2382"/>
      <c r="G103" s="2383"/>
      <c r="H103" s="2382"/>
      <c r="I103" s="2383"/>
      <c r="J103" s="2382"/>
      <c r="K103" s="2382"/>
      <c r="L103" s="2383"/>
      <c r="M103" s="2382"/>
      <c r="N103" s="2382"/>
      <c r="O103" s="2383"/>
      <c r="P103" s="2382"/>
      <c r="Q103" s="2382"/>
      <c r="R103" s="2384"/>
    </row>
    <row r="104" spans="2:18" s="2355" customFormat="1">
      <c r="B104" s="2382"/>
      <c r="C104" s="2382"/>
      <c r="D104" s="2382"/>
      <c r="E104" s="2382"/>
      <c r="F104" s="2382"/>
      <c r="G104" s="2383"/>
      <c r="H104" s="2382"/>
      <c r="I104" s="2383"/>
      <c r="J104" s="2382"/>
      <c r="K104" s="2382"/>
      <c r="L104" s="2383"/>
      <c r="M104" s="2382"/>
      <c r="N104" s="2382"/>
      <c r="O104" s="2383"/>
      <c r="P104" s="2382"/>
      <c r="Q104" s="2382"/>
      <c r="R104" s="2384"/>
    </row>
    <row r="105" spans="2:18" s="2355" customFormat="1">
      <c r="B105" s="2382"/>
      <c r="C105" s="2382"/>
      <c r="D105" s="2382"/>
      <c r="E105" s="2382"/>
      <c r="F105" s="2382"/>
      <c r="G105" s="2383"/>
      <c r="H105" s="2382"/>
      <c r="I105" s="2383"/>
      <c r="J105" s="2382"/>
      <c r="K105" s="2382"/>
      <c r="L105" s="2383"/>
      <c r="M105" s="2382"/>
      <c r="N105" s="2382"/>
      <c r="O105" s="2383"/>
      <c r="P105" s="2382"/>
      <c r="Q105" s="2382"/>
      <c r="R105" s="2384"/>
    </row>
    <row r="106" spans="2:18" s="2355" customFormat="1">
      <c r="B106" s="2382"/>
      <c r="C106" s="2382"/>
      <c r="D106" s="2382"/>
      <c r="E106" s="2382"/>
      <c r="F106" s="2382"/>
      <c r="G106" s="2383"/>
      <c r="H106" s="2382"/>
      <c r="I106" s="2383"/>
      <c r="J106" s="2382"/>
      <c r="K106" s="2382"/>
      <c r="L106" s="2383"/>
      <c r="M106" s="2382"/>
      <c r="N106" s="2382"/>
      <c r="O106" s="2383"/>
      <c r="P106" s="2382"/>
      <c r="Q106" s="2382"/>
      <c r="R106" s="2384"/>
    </row>
    <row r="107" spans="2:18" s="2355" customFormat="1">
      <c r="B107" s="2382"/>
      <c r="C107" s="2382"/>
      <c r="D107" s="2382"/>
      <c r="E107" s="2382"/>
      <c r="F107" s="2382"/>
      <c r="G107" s="2383"/>
      <c r="H107" s="2382"/>
      <c r="I107" s="2383"/>
      <c r="J107" s="2382"/>
      <c r="K107" s="2382"/>
      <c r="L107" s="2383"/>
      <c r="M107" s="2382"/>
      <c r="N107" s="2382"/>
      <c r="O107" s="2383"/>
      <c r="P107" s="2382"/>
      <c r="Q107" s="2382"/>
      <c r="R107" s="2384"/>
    </row>
    <row r="108" spans="2:18" s="2355" customFormat="1">
      <c r="B108" s="2382"/>
      <c r="C108" s="2382"/>
      <c r="D108" s="2382"/>
      <c r="E108" s="2382"/>
      <c r="F108" s="2382"/>
      <c r="G108" s="2383"/>
      <c r="H108" s="2382"/>
      <c r="I108" s="2383"/>
      <c r="J108" s="2382"/>
      <c r="K108" s="2382"/>
      <c r="L108" s="2383"/>
      <c r="M108" s="2382"/>
      <c r="N108" s="2382"/>
      <c r="O108" s="2383"/>
      <c r="P108" s="2382"/>
      <c r="Q108" s="2382"/>
      <c r="R108" s="2384"/>
    </row>
    <row r="109" spans="2:18" s="2355" customFormat="1">
      <c r="B109" s="2382"/>
      <c r="C109" s="2382"/>
      <c r="D109" s="2382"/>
      <c r="E109" s="2382"/>
      <c r="F109" s="2382"/>
      <c r="G109" s="2383"/>
      <c r="H109" s="2382"/>
      <c r="I109" s="2383"/>
      <c r="J109" s="2382"/>
      <c r="K109" s="2382"/>
      <c r="L109" s="2383"/>
      <c r="M109" s="2382"/>
      <c r="N109" s="2382"/>
      <c r="O109" s="2383"/>
      <c r="P109" s="2382"/>
      <c r="Q109" s="2382"/>
      <c r="R109" s="2384"/>
    </row>
    <row r="110" spans="2:18" s="2355" customFormat="1">
      <c r="B110" s="2382"/>
      <c r="C110" s="2382"/>
      <c r="D110" s="2382"/>
      <c r="E110" s="2382"/>
      <c r="F110" s="2382"/>
      <c r="G110" s="2383"/>
      <c r="H110" s="2382"/>
      <c r="I110" s="2383"/>
      <c r="J110" s="2382"/>
      <c r="K110" s="2382"/>
      <c r="L110" s="2383"/>
      <c r="M110" s="2382"/>
      <c r="N110" s="2382"/>
      <c r="O110" s="2383"/>
      <c r="P110" s="2382"/>
      <c r="Q110" s="2382"/>
      <c r="R110" s="2384"/>
    </row>
    <row r="111" spans="2:18" s="2355" customFormat="1">
      <c r="B111" s="2382"/>
      <c r="C111" s="2382"/>
      <c r="D111" s="2382"/>
      <c r="E111" s="2382"/>
      <c r="F111" s="2382"/>
      <c r="G111" s="2383"/>
      <c r="H111" s="2382"/>
      <c r="I111" s="2383"/>
      <c r="J111" s="2382"/>
      <c r="K111" s="2382"/>
      <c r="L111" s="2383"/>
      <c r="M111" s="2382"/>
      <c r="N111" s="2382"/>
      <c r="O111" s="2383"/>
      <c r="P111" s="2382"/>
      <c r="Q111" s="2382"/>
      <c r="R111" s="2384"/>
    </row>
    <row r="112" spans="2:18" s="2355" customFormat="1">
      <c r="B112" s="2382"/>
      <c r="C112" s="2382"/>
      <c r="D112" s="2382"/>
      <c r="E112" s="2382"/>
      <c r="F112" s="2382"/>
      <c r="G112" s="2383"/>
      <c r="H112" s="2382"/>
      <c r="I112" s="2383"/>
      <c r="J112" s="2382"/>
      <c r="K112" s="2382"/>
      <c r="L112" s="2383"/>
      <c r="M112" s="2382"/>
      <c r="N112" s="2382"/>
      <c r="O112" s="2383"/>
      <c r="P112" s="2382"/>
      <c r="Q112" s="2382"/>
      <c r="R112" s="2384"/>
    </row>
    <row r="113" spans="2:18" s="2355" customFormat="1">
      <c r="B113" s="2382"/>
      <c r="C113" s="2382"/>
      <c r="D113" s="2382"/>
      <c r="E113" s="2382"/>
      <c r="F113" s="2382"/>
      <c r="G113" s="2383"/>
      <c r="H113" s="2382"/>
      <c r="I113" s="2383"/>
      <c r="J113" s="2382"/>
      <c r="K113" s="2382"/>
      <c r="L113" s="2383"/>
      <c r="M113" s="2382"/>
      <c r="N113" s="2382"/>
      <c r="O113" s="2383"/>
      <c r="P113" s="2382"/>
      <c r="Q113" s="2382"/>
      <c r="R113" s="2384"/>
    </row>
    <row r="114" spans="2:18" s="2355" customFormat="1">
      <c r="B114" s="2382"/>
      <c r="C114" s="2382"/>
      <c r="D114" s="2382"/>
      <c r="E114" s="2382"/>
      <c r="F114" s="2382"/>
      <c r="G114" s="2383"/>
      <c r="H114" s="2382"/>
      <c r="I114" s="2383"/>
      <c r="J114" s="2382"/>
      <c r="K114" s="2382"/>
      <c r="L114" s="2383"/>
      <c r="M114" s="2382"/>
      <c r="N114" s="2382"/>
      <c r="O114" s="2383"/>
      <c r="P114" s="2382"/>
      <c r="Q114" s="2382"/>
      <c r="R114" s="2384"/>
    </row>
    <row r="115" spans="2:18" s="2355" customFormat="1">
      <c r="B115" s="2382"/>
      <c r="C115" s="2382"/>
      <c r="D115" s="2382"/>
      <c r="E115" s="2382"/>
      <c r="F115" s="2382"/>
      <c r="G115" s="2383"/>
      <c r="H115" s="2382"/>
      <c r="I115" s="2383"/>
      <c r="J115" s="2382"/>
      <c r="K115" s="2382"/>
      <c r="L115" s="2383"/>
      <c r="M115" s="2382"/>
      <c r="N115" s="2382"/>
      <c r="O115" s="2383"/>
      <c r="P115" s="2382"/>
      <c r="Q115" s="2382"/>
      <c r="R115" s="2384"/>
    </row>
    <row r="116" spans="2:18" s="2355" customFormat="1">
      <c r="B116" s="2382"/>
      <c r="C116" s="2382"/>
      <c r="D116" s="2382"/>
      <c r="E116" s="2382"/>
      <c r="F116" s="2382"/>
      <c r="G116" s="2383"/>
      <c r="H116" s="2382"/>
      <c r="I116" s="2383"/>
      <c r="J116" s="2382"/>
      <c r="K116" s="2382"/>
      <c r="L116" s="2383"/>
      <c r="M116" s="2382"/>
      <c r="N116" s="2382"/>
      <c r="O116" s="2383"/>
      <c r="P116" s="2382"/>
      <c r="Q116" s="2382"/>
      <c r="R116" s="2384"/>
    </row>
    <row r="117" spans="2:18" s="2355" customFormat="1">
      <c r="B117" s="2382"/>
      <c r="C117" s="2382"/>
      <c r="D117" s="2382"/>
      <c r="E117" s="2382"/>
      <c r="F117" s="2382"/>
      <c r="G117" s="2383"/>
      <c r="H117" s="2382"/>
      <c r="I117" s="2383"/>
      <c r="J117" s="2382"/>
      <c r="K117" s="2382"/>
      <c r="L117" s="2383"/>
      <c r="M117" s="2382"/>
      <c r="N117" s="2382"/>
      <c r="O117" s="2383"/>
      <c r="P117" s="2382"/>
      <c r="Q117" s="2382"/>
      <c r="R117" s="2384"/>
    </row>
    <row r="118" spans="2:18" s="2355" customFormat="1">
      <c r="B118" s="2382"/>
      <c r="C118" s="2382"/>
      <c r="D118" s="2382"/>
      <c r="E118" s="2382"/>
      <c r="F118" s="2382"/>
      <c r="G118" s="2383"/>
      <c r="H118" s="2382"/>
      <c r="I118" s="2383"/>
      <c r="J118" s="2382"/>
      <c r="K118" s="2382"/>
      <c r="L118" s="2383"/>
      <c r="M118" s="2382"/>
      <c r="N118" s="2382"/>
      <c r="O118" s="2383"/>
      <c r="P118" s="2382"/>
      <c r="Q118" s="2382"/>
      <c r="R118" s="2384"/>
    </row>
    <row r="119" spans="2:18" s="2355" customFormat="1">
      <c r="B119" s="2382"/>
      <c r="C119" s="2382"/>
      <c r="D119" s="2382"/>
      <c r="E119" s="2382"/>
      <c r="F119" s="2382"/>
      <c r="G119" s="2383"/>
      <c r="H119" s="2382"/>
      <c r="I119" s="2383"/>
      <c r="J119" s="2382"/>
      <c r="K119" s="2382"/>
      <c r="L119" s="2383"/>
      <c r="M119" s="2382"/>
      <c r="N119" s="2382"/>
      <c r="O119" s="2383"/>
      <c r="P119" s="2382"/>
      <c r="Q119" s="2382"/>
      <c r="R119" s="2384"/>
    </row>
    <row r="120" spans="2:18" s="2355" customFormat="1">
      <c r="B120" s="2382"/>
      <c r="C120" s="2382"/>
      <c r="D120" s="2382"/>
      <c r="E120" s="2382"/>
      <c r="F120" s="2382"/>
      <c r="G120" s="2383"/>
      <c r="H120" s="2382"/>
      <c r="I120" s="2383"/>
      <c r="J120" s="2382"/>
      <c r="K120" s="2382"/>
      <c r="L120" s="2383"/>
      <c r="M120" s="2382"/>
      <c r="N120" s="2382"/>
      <c r="O120" s="2383"/>
      <c r="P120" s="2382"/>
      <c r="Q120" s="2382"/>
      <c r="R120" s="2384"/>
    </row>
    <row r="121" spans="2:18" s="2355" customFormat="1">
      <c r="B121" s="2382"/>
      <c r="C121" s="2382"/>
      <c r="D121" s="2382"/>
      <c r="E121" s="2382"/>
      <c r="F121" s="2382"/>
      <c r="G121" s="2383"/>
      <c r="H121" s="2382"/>
      <c r="I121" s="2383"/>
      <c r="J121" s="2382"/>
      <c r="K121" s="2382"/>
      <c r="L121" s="2383"/>
      <c r="M121" s="2382"/>
      <c r="N121" s="2382"/>
      <c r="O121" s="2383"/>
      <c r="P121" s="2382"/>
      <c r="Q121" s="2382"/>
      <c r="R121" s="2384"/>
    </row>
    <row r="122" spans="2:18" s="2355" customFormat="1">
      <c r="B122" s="2382"/>
      <c r="C122" s="2382"/>
      <c r="D122" s="2382"/>
      <c r="E122" s="2382"/>
      <c r="F122" s="2382"/>
      <c r="G122" s="2383"/>
      <c r="H122" s="2382"/>
      <c r="I122" s="2383"/>
      <c r="J122" s="2382"/>
      <c r="K122" s="2382"/>
      <c r="L122" s="2383"/>
      <c r="M122" s="2382"/>
      <c r="N122" s="2382"/>
      <c r="O122" s="2383"/>
      <c r="P122" s="2382"/>
      <c r="Q122" s="2382"/>
      <c r="R122" s="2384"/>
    </row>
    <row r="123" spans="2:18" s="2355" customFormat="1">
      <c r="B123" s="2382"/>
      <c r="C123" s="2382"/>
      <c r="D123" s="2382"/>
      <c r="E123" s="2382"/>
      <c r="F123" s="2382"/>
      <c r="G123" s="2383"/>
      <c r="H123" s="2382"/>
      <c r="I123" s="2383"/>
      <c r="J123" s="2382"/>
      <c r="K123" s="2382"/>
      <c r="L123" s="2383"/>
      <c r="M123" s="2382"/>
      <c r="N123" s="2382"/>
      <c r="O123" s="2383"/>
      <c r="P123" s="2382"/>
      <c r="Q123" s="2382"/>
      <c r="R123" s="2384"/>
    </row>
    <row r="124" spans="2:18" s="2355" customFormat="1">
      <c r="B124" s="2382"/>
      <c r="C124" s="2382"/>
      <c r="D124" s="2382"/>
      <c r="E124" s="2382"/>
      <c r="F124" s="2382"/>
      <c r="G124" s="2383"/>
      <c r="H124" s="2382"/>
      <c r="I124" s="2383"/>
      <c r="J124" s="2382"/>
      <c r="K124" s="2382"/>
      <c r="L124" s="2383"/>
      <c r="M124" s="2382"/>
      <c r="N124" s="2382"/>
      <c r="O124" s="2383"/>
      <c r="P124" s="2382"/>
      <c r="Q124" s="2382"/>
      <c r="R124" s="2384"/>
    </row>
    <row r="125" spans="2:18" s="2355" customFormat="1">
      <c r="B125" s="2382"/>
      <c r="C125" s="2382"/>
      <c r="D125" s="2382"/>
      <c r="E125" s="2382"/>
      <c r="F125" s="2382"/>
      <c r="G125" s="2383"/>
      <c r="H125" s="2382"/>
      <c r="I125" s="2383"/>
      <c r="J125" s="2382"/>
      <c r="K125" s="2382"/>
      <c r="L125" s="2383"/>
      <c r="M125" s="2382"/>
      <c r="N125" s="2382"/>
      <c r="O125" s="2383"/>
      <c r="P125" s="2382"/>
      <c r="Q125" s="2382"/>
      <c r="R125" s="2384"/>
    </row>
    <row r="126" spans="2:18" s="2355" customFormat="1">
      <c r="B126" s="2382"/>
      <c r="C126" s="2382"/>
      <c r="D126" s="2382"/>
      <c r="E126" s="2382"/>
      <c r="F126" s="2382"/>
      <c r="G126" s="2383"/>
      <c r="H126" s="2382"/>
      <c r="I126" s="2383"/>
      <c r="J126" s="2382"/>
      <c r="K126" s="2382"/>
      <c r="L126" s="2383"/>
      <c r="M126" s="2382"/>
      <c r="N126" s="2382"/>
      <c r="O126" s="2383"/>
      <c r="P126" s="2382"/>
      <c r="Q126" s="2382"/>
      <c r="R126" s="2384"/>
    </row>
    <row r="127" spans="2:18" s="2355" customFormat="1">
      <c r="B127" s="2382"/>
      <c r="C127" s="2382"/>
      <c r="D127" s="2382"/>
      <c r="E127" s="2382"/>
      <c r="F127" s="2382"/>
      <c r="G127" s="2383"/>
      <c r="H127" s="2382"/>
      <c r="I127" s="2383"/>
      <c r="J127" s="2382"/>
      <c r="K127" s="2382"/>
      <c r="L127" s="2383"/>
      <c r="M127" s="2382"/>
      <c r="N127" s="2382"/>
      <c r="O127" s="2383"/>
      <c r="P127" s="2382"/>
      <c r="Q127" s="2382"/>
      <c r="R127" s="2384"/>
    </row>
    <row r="128" spans="2:18" s="2355" customFormat="1">
      <c r="B128" s="2382"/>
      <c r="C128" s="2382"/>
      <c r="D128" s="2382"/>
      <c r="E128" s="2382"/>
      <c r="F128" s="2382"/>
      <c r="G128" s="2383"/>
      <c r="H128" s="2382"/>
      <c r="I128" s="2383"/>
      <c r="J128" s="2382"/>
      <c r="K128" s="2382"/>
      <c r="L128" s="2383"/>
      <c r="M128" s="2382"/>
      <c r="N128" s="2382"/>
      <c r="O128" s="2383"/>
      <c r="P128" s="2382"/>
      <c r="Q128" s="2382"/>
      <c r="R128" s="2384"/>
    </row>
    <row r="129" spans="2:18" s="2355" customFormat="1">
      <c r="B129" s="2382"/>
      <c r="C129" s="2382"/>
      <c r="D129" s="2382"/>
      <c r="E129" s="2382"/>
      <c r="F129" s="2382"/>
      <c r="G129" s="2383"/>
      <c r="H129" s="2382"/>
      <c r="I129" s="2383"/>
      <c r="J129" s="2382"/>
      <c r="K129" s="2382"/>
      <c r="L129" s="2383"/>
      <c r="M129" s="2382"/>
      <c r="N129" s="2382"/>
      <c r="O129" s="2383"/>
      <c r="P129" s="2382"/>
      <c r="Q129" s="2382"/>
      <c r="R129" s="2384"/>
    </row>
    <row r="130" spans="2:18" s="2355" customFormat="1">
      <c r="B130" s="2382"/>
      <c r="C130" s="2382"/>
      <c r="D130" s="2382"/>
      <c r="E130" s="2382"/>
      <c r="F130" s="2382"/>
      <c r="G130" s="2383"/>
      <c r="H130" s="2382"/>
      <c r="I130" s="2383"/>
      <c r="J130" s="2382"/>
      <c r="K130" s="2382"/>
      <c r="L130" s="2383"/>
      <c r="M130" s="2382"/>
      <c r="N130" s="2382"/>
      <c r="O130" s="2383"/>
      <c r="P130" s="2382"/>
      <c r="Q130" s="2382"/>
      <c r="R130" s="2384"/>
    </row>
    <row r="131" spans="2:18" s="2355" customFormat="1">
      <c r="B131" s="2382"/>
      <c r="C131" s="2382"/>
      <c r="D131" s="2382"/>
      <c r="E131" s="2382"/>
      <c r="F131" s="2382"/>
      <c r="G131" s="2383"/>
      <c r="H131" s="2382"/>
      <c r="I131" s="2383"/>
      <c r="J131" s="2382"/>
      <c r="K131" s="2382"/>
      <c r="L131" s="2383"/>
      <c r="M131" s="2382"/>
      <c r="N131" s="2382"/>
      <c r="O131" s="2383"/>
      <c r="P131" s="2382"/>
      <c r="Q131" s="2382"/>
      <c r="R131" s="2384"/>
    </row>
    <row r="132" spans="2:18" s="2355" customFormat="1">
      <c r="B132" s="2382"/>
      <c r="C132" s="2382"/>
      <c r="D132" s="2382"/>
      <c r="E132" s="2382"/>
      <c r="F132" s="2382"/>
      <c r="G132" s="2383"/>
      <c r="H132" s="2382"/>
      <c r="I132" s="2383"/>
      <c r="J132" s="2382"/>
      <c r="K132" s="2382"/>
      <c r="L132" s="2383"/>
      <c r="M132" s="2382"/>
      <c r="N132" s="2382"/>
      <c r="O132" s="2383"/>
      <c r="P132" s="2382"/>
      <c r="Q132" s="2382"/>
      <c r="R132" s="2384"/>
    </row>
    <row r="133" spans="2:18" s="2355" customFormat="1">
      <c r="B133" s="2382"/>
      <c r="C133" s="2382"/>
      <c r="D133" s="2382"/>
      <c r="E133" s="2382"/>
      <c r="F133" s="2382"/>
      <c r="G133" s="2383"/>
      <c r="H133" s="2382"/>
      <c r="I133" s="2383"/>
      <c r="J133" s="2382"/>
      <c r="K133" s="2382"/>
      <c r="L133" s="2383"/>
      <c r="M133" s="2382"/>
      <c r="N133" s="2382"/>
      <c r="O133" s="2383"/>
      <c r="P133" s="2382"/>
      <c r="Q133" s="2382"/>
      <c r="R133" s="2384"/>
    </row>
    <row r="134" spans="2:18" s="2355" customFormat="1">
      <c r="B134" s="2382"/>
      <c r="C134" s="2382"/>
      <c r="D134" s="2382"/>
      <c r="E134" s="2382"/>
      <c r="F134" s="2382"/>
      <c r="G134" s="2383"/>
      <c r="H134" s="2382"/>
      <c r="I134" s="2383"/>
      <c r="J134" s="2382"/>
      <c r="K134" s="2382"/>
      <c r="L134" s="2383"/>
      <c r="M134" s="2382"/>
      <c r="N134" s="2382"/>
      <c r="O134" s="2383"/>
      <c r="P134" s="2382"/>
      <c r="Q134" s="2382"/>
      <c r="R134" s="2384"/>
    </row>
    <row r="135" spans="2:18" s="2355" customFormat="1">
      <c r="B135" s="2382"/>
      <c r="C135" s="2382"/>
      <c r="D135" s="2382"/>
      <c r="E135" s="2382"/>
      <c r="F135" s="2382"/>
      <c r="G135" s="2383"/>
      <c r="H135" s="2382"/>
      <c r="I135" s="2383"/>
      <c r="J135" s="2382"/>
      <c r="K135" s="2382"/>
      <c r="L135" s="2383"/>
      <c r="M135" s="2382"/>
      <c r="N135" s="2382"/>
      <c r="O135" s="2383"/>
      <c r="P135" s="2382"/>
      <c r="Q135" s="2382"/>
      <c r="R135" s="2384"/>
    </row>
    <row r="136" spans="2:18" s="2355" customFormat="1">
      <c r="B136" s="2382"/>
      <c r="C136" s="2382"/>
      <c r="D136" s="2382"/>
      <c r="E136" s="2382"/>
      <c r="F136" s="2382"/>
      <c r="G136" s="2383"/>
      <c r="H136" s="2382"/>
      <c r="I136" s="2383"/>
      <c r="J136" s="2382"/>
      <c r="K136" s="2382"/>
      <c r="L136" s="2383"/>
      <c r="M136" s="2382"/>
      <c r="N136" s="2382"/>
      <c r="O136" s="2383"/>
      <c r="P136" s="2382"/>
      <c r="Q136" s="2382"/>
      <c r="R136" s="2384"/>
    </row>
    <row r="137" spans="2:18" s="2355" customFormat="1">
      <c r="B137" s="2382"/>
      <c r="C137" s="2382"/>
      <c r="D137" s="2382"/>
      <c r="E137" s="2382"/>
      <c r="F137" s="2382"/>
      <c r="G137" s="2383"/>
      <c r="H137" s="2382"/>
      <c r="I137" s="2383"/>
      <c r="J137" s="2382"/>
      <c r="K137" s="2382"/>
      <c r="L137" s="2383"/>
      <c r="M137" s="2382"/>
      <c r="N137" s="2382"/>
      <c r="O137" s="2383"/>
      <c r="P137" s="2382"/>
      <c r="Q137" s="2382"/>
      <c r="R137" s="2384"/>
    </row>
    <row r="138" spans="2:18" s="2355" customFormat="1">
      <c r="B138" s="2382"/>
      <c r="C138" s="2382"/>
      <c r="D138" s="2382"/>
      <c r="E138" s="2382"/>
      <c r="F138" s="2382"/>
      <c r="G138" s="2383"/>
      <c r="H138" s="2382"/>
      <c r="I138" s="2383"/>
      <c r="J138" s="2382"/>
      <c r="K138" s="2382"/>
      <c r="L138" s="2383"/>
      <c r="M138" s="2382"/>
      <c r="N138" s="2382"/>
      <c r="O138" s="2383"/>
      <c r="P138" s="2382"/>
      <c r="Q138" s="2382"/>
      <c r="R138" s="2384"/>
    </row>
    <row r="139" spans="2:18" s="2355" customFormat="1">
      <c r="B139" s="2382"/>
      <c r="C139" s="2382"/>
      <c r="D139" s="2382"/>
      <c r="E139" s="2382"/>
      <c r="F139" s="2382"/>
      <c r="G139" s="2383"/>
      <c r="H139" s="2382"/>
      <c r="I139" s="2383"/>
      <c r="J139" s="2382"/>
      <c r="K139" s="2382"/>
      <c r="L139" s="2383"/>
      <c r="M139" s="2382"/>
      <c r="N139" s="2382"/>
      <c r="O139" s="2383"/>
      <c r="P139" s="2382"/>
      <c r="Q139" s="2382"/>
      <c r="R139" s="2384"/>
    </row>
    <row r="140" spans="2:18" s="2355" customFormat="1">
      <c r="B140" s="2382"/>
      <c r="C140" s="2382"/>
      <c r="D140" s="2382"/>
      <c r="E140" s="2382"/>
      <c r="F140" s="2382"/>
      <c r="G140" s="2383"/>
      <c r="H140" s="2382"/>
      <c r="I140" s="2383"/>
      <c r="J140" s="2382"/>
      <c r="K140" s="2382"/>
      <c r="L140" s="2383"/>
      <c r="M140" s="2382"/>
      <c r="N140" s="2382"/>
      <c r="O140" s="2383"/>
      <c r="P140" s="2382"/>
      <c r="Q140" s="2382"/>
      <c r="R140" s="2384"/>
    </row>
    <row r="141" spans="2:18" s="2355" customFormat="1">
      <c r="B141" s="2382"/>
      <c r="C141" s="2382"/>
      <c r="D141" s="2382"/>
      <c r="E141" s="2382"/>
      <c r="F141" s="2382"/>
      <c r="G141" s="2383"/>
      <c r="H141" s="2382"/>
      <c r="I141" s="2383"/>
      <c r="J141" s="2382"/>
      <c r="K141" s="2382"/>
      <c r="L141" s="2383"/>
      <c r="M141" s="2382"/>
      <c r="N141" s="2382"/>
      <c r="O141" s="2383"/>
      <c r="P141" s="2382"/>
      <c r="Q141" s="2382"/>
      <c r="R141" s="2384"/>
    </row>
    <row r="142" spans="2:18" s="2355" customFormat="1">
      <c r="B142" s="2382"/>
      <c r="C142" s="2382"/>
      <c r="D142" s="2382"/>
      <c r="E142" s="2382"/>
      <c r="F142" s="2382"/>
      <c r="G142" s="2383"/>
      <c r="H142" s="2382"/>
      <c r="I142" s="2383"/>
      <c r="J142" s="2382"/>
      <c r="K142" s="2382"/>
      <c r="L142" s="2383"/>
      <c r="M142" s="2382"/>
      <c r="N142" s="2382"/>
      <c r="O142" s="2383"/>
      <c r="P142" s="2382"/>
      <c r="Q142" s="2382"/>
      <c r="R142" s="2384"/>
    </row>
    <row r="143" spans="2:18" s="2355" customFormat="1">
      <c r="B143" s="2382"/>
      <c r="C143" s="2382"/>
      <c r="D143" s="2382"/>
      <c r="E143" s="2382"/>
      <c r="F143" s="2382"/>
      <c r="G143" s="2383"/>
      <c r="H143" s="2382"/>
      <c r="I143" s="2383"/>
      <c r="J143" s="2382"/>
      <c r="K143" s="2382"/>
      <c r="L143" s="2383"/>
      <c r="M143" s="2382"/>
      <c r="N143" s="2382"/>
      <c r="O143" s="2383"/>
      <c r="P143" s="2382"/>
      <c r="Q143" s="2382"/>
      <c r="R143" s="2384"/>
    </row>
    <row r="144" spans="2:18" s="2355" customFormat="1">
      <c r="B144" s="2382"/>
      <c r="C144" s="2382"/>
      <c r="D144" s="2382"/>
      <c r="E144" s="2382"/>
      <c r="F144" s="2382"/>
      <c r="G144" s="2383"/>
      <c r="H144" s="2382"/>
      <c r="I144" s="2383"/>
      <c r="J144" s="2382"/>
      <c r="K144" s="2382"/>
      <c r="L144" s="2383"/>
      <c r="M144" s="2382"/>
      <c r="N144" s="2382"/>
      <c r="O144" s="2383"/>
      <c r="P144" s="2382"/>
      <c r="Q144" s="2382"/>
      <c r="R144" s="2384"/>
    </row>
    <row r="145" spans="2:18" s="2355" customFormat="1">
      <c r="B145" s="2382"/>
      <c r="C145" s="2382"/>
      <c r="D145" s="2382"/>
      <c r="E145" s="2382"/>
      <c r="F145" s="2382"/>
      <c r="G145" s="2383"/>
      <c r="H145" s="2382"/>
      <c r="I145" s="2383"/>
      <c r="J145" s="2382"/>
      <c r="K145" s="2382"/>
      <c r="L145" s="2383"/>
      <c r="M145" s="2382"/>
      <c r="N145" s="2382"/>
      <c r="O145" s="2383"/>
      <c r="P145" s="2382"/>
      <c r="Q145" s="2382"/>
      <c r="R145" s="2384"/>
    </row>
    <row r="146" spans="2:18" s="2355" customFormat="1">
      <c r="B146" s="2382"/>
      <c r="C146" s="2382"/>
      <c r="D146" s="2382"/>
      <c r="E146" s="2382"/>
      <c r="F146" s="2382"/>
      <c r="G146" s="2383"/>
      <c r="H146" s="2382"/>
      <c r="I146" s="2383"/>
      <c r="J146" s="2382"/>
      <c r="K146" s="2382"/>
      <c r="L146" s="2383"/>
      <c r="M146" s="2382"/>
      <c r="N146" s="2382"/>
      <c r="O146" s="2383"/>
      <c r="P146" s="2382"/>
      <c r="Q146" s="2382"/>
      <c r="R146" s="2384"/>
    </row>
    <row r="147" spans="2:18" s="2355" customFormat="1">
      <c r="B147" s="2382"/>
      <c r="C147" s="2382"/>
      <c r="D147" s="2382"/>
      <c r="E147" s="2382"/>
      <c r="F147" s="2382"/>
      <c r="G147" s="2383"/>
      <c r="H147" s="2382"/>
      <c r="I147" s="2383"/>
      <c r="J147" s="2382"/>
      <c r="K147" s="2382"/>
      <c r="L147" s="2383"/>
      <c r="M147" s="2382"/>
      <c r="N147" s="2382"/>
      <c r="O147" s="2383"/>
      <c r="P147" s="2382"/>
      <c r="Q147" s="2382"/>
      <c r="R147" s="2384"/>
    </row>
    <row r="148" spans="2:18" s="2355" customFormat="1">
      <c r="B148" s="2382"/>
      <c r="C148" s="2382"/>
      <c r="D148" s="2382"/>
      <c r="E148" s="2382"/>
      <c r="F148" s="2382"/>
      <c r="G148" s="2383"/>
      <c r="H148" s="2382"/>
      <c r="I148" s="2383"/>
      <c r="J148" s="2382"/>
      <c r="K148" s="2382"/>
      <c r="L148" s="2383"/>
      <c r="M148" s="2382"/>
      <c r="N148" s="2382"/>
      <c r="O148" s="2383"/>
      <c r="P148" s="2382"/>
      <c r="Q148" s="2382"/>
      <c r="R148" s="2384"/>
    </row>
    <row r="149" spans="2:18" s="2355" customFormat="1">
      <c r="B149" s="2382"/>
      <c r="C149" s="2382"/>
      <c r="D149" s="2382"/>
      <c r="E149" s="2382"/>
      <c r="F149" s="2382"/>
      <c r="G149" s="2383"/>
      <c r="H149" s="2382"/>
      <c r="I149" s="2383"/>
      <c r="J149" s="2382"/>
      <c r="K149" s="2382"/>
      <c r="L149" s="2383"/>
      <c r="M149" s="2382"/>
      <c r="N149" s="2382"/>
      <c r="O149" s="2383"/>
      <c r="P149" s="2382"/>
      <c r="Q149" s="2382"/>
      <c r="R149" s="2384"/>
    </row>
    <row r="150" spans="2:18" s="2355" customFormat="1">
      <c r="B150" s="2382"/>
      <c r="C150" s="2382"/>
      <c r="D150" s="2382"/>
      <c r="E150" s="2382"/>
      <c r="F150" s="2382"/>
      <c r="G150" s="2383"/>
      <c r="H150" s="2382"/>
      <c r="I150" s="2383"/>
      <c r="J150" s="2382"/>
      <c r="K150" s="2382"/>
      <c r="L150" s="2383"/>
      <c r="M150" s="2382"/>
      <c r="N150" s="2382"/>
      <c r="O150" s="2383"/>
      <c r="P150" s="2382"/>
      <c r="Q150" s="2382"/>
      <c r="R150" s="2384"/>
    </row>
    <row r="151" spans="2:18" s="2355" customFormat="1">
      <c r="B151" s="2382"/>
      <c r="C151" s="2382"/>
      <c r="D151" s="2382"/>
      <c r="E151" s="2382"/>
      <c r="F151" s="2382"/>
      <c r="G151" s="2383"/>
      <c r="H151" s="2382"/>
      <c r="I151" s="2383"/>
      <c r="J151" s="2382"/>
      <c r="K151" s="2382"/>
      <c r="L151" s="2383"/>
      <c r="M151" s="2382"/>
      <c r="N151" s="2382"/>
      <c r="O151" s="2383"/>
      <c r="P151" s="2382"/>
      <c r="Q151" s="2382"/>
      <c r="R151" s="2384"/>
    </row>
    <row r="152" spans="2:18" s="2355" customFormat="1">
      <c r="B152" s="2382"/>
      <c r="C152" s="2382"/>
      <c r="D152" s="2382"/>
      <c r="E152" s="2382"/>
      <c r="F152" s="2382"/>
      <c r="G152" s="2383"/>
      <c r="H152" s="2382"/>
      <c r="I152" s="2383"/>
      <c r="J152" s="2382"/>
      <c r="K152" s="2382"/>
      <c r="L152" s="2383"/>
      <c r="M152" s="2382"/>
      <c r="N152" s="2382"/>
      <c r="O152" s="2383"/>
      <c r="P152" s="2382"/>
      <c r="Q152" s="2382"/>
      <c r="R152" s="2384"/>
    </row>
    <row r="153" spans="2:18" s="2355" customFormat="1">
      <c r="B153" s="2382"/>
      <c r="C153" s="2382"/>
      <c r="D153" s="2382"/>
      <c r="E153" s="2382"/>
      <c r="F153" s="2382"/>
      <c r="G153" s="2383"/>
      <c r="H153" s="2382"/>
      <c r="I153" s="2383"/>
      <c r="J153" s="2382"/>
      <c r="K153" s="2382"/>
      <c r="L153" s="2383"/>
      <c r="M153" s="2382"/>
      <c r="N153" s="2382"/>
      <c r="O153" s="2383"/>
      <c r="P153" s="2382"/>
      <c r="Q153" s="2382"/>
      <c r="R153" s="2384"/>
    </row>
    <row r="154" spans="2:18" s="2355" customFormat="1">
      <c r="B154" s="2382"/>
      <c r="C154" s="2382"/>
      <c r="D154" s="2382"/>
      <c r="E154" s="2382"/>
      <c r="F154" s="2382"/>
      <c r="G154" s="2383"/>
      <c r="H154" s="2382"/>
      <c r="I154" s="2383"/>
      <c r="J154" s="2382"/>
      <c r="K154" s="2382"/>
      <c r="L154" s="2383"/>
      <c r="M154" s="2382"/>
      <c r="N154" s="2382"/>
      <c r="O154" s="2383"/>
      <c r="P154" s="2382"/>
      <c r="Q154" s="2382"/>
      <c r="R154" s="2384"/>
    </row>
    <row r="155" spans="2:18" s="2355" customFormat="1">
      <c r="B155" s="2382"/>
      <c r="C155" s="2382"/>
      <c r="D155" s="2382"/>
      <c r="E155" s="2382"/>
      <c r="F155" s="2382"/>
      <c r="G155" s="2383"/>
      <c r="H155" s="2382"/>
      <c r="I155" s="2383"/>
      <c r="J155" s="2382"/>
      <c r="K155" s="2382"/>
      <c r="L155" s="2383"/>
      <c r="M155" s="2382"/>
      <c r="N155" s="2382"/>
      <c r="O155" s="2383"/>
      <c r="P155" s="2382"/>
      <c r="Q155" s="2382"/>
      <c r="R155" s="2384"/>
    </row>
    <row r="156" spans="2:18" s="2355" customFormat="1">
      <c r="B156" s="2382"/>
      <c r="C156" s="2382"/>
      <c r="D156" s="2382"/>
      <c r="E156" s="2382"/>
      <c r="F156" s="2382"/>
      <c r="G156" s="2383"/>
      <c r="H156" s="2382"/>
      <c r="I156" s="2383"/>
      <c r="J156" s="2382"/>
      <c r="K156" s="2382"/>
      <c r="L156" s="2383"/>
      <c r="M156" s="2382"/>
      <c r="N156" s="2382"/>
      <c r="O156" s="2383"/>
      <c r="P156" s="2382"/>
      <c r="Q156" s="2382"/>
      <c r="R156" s="2384"/>
    </row>
    <row r="157" spans="2:18" s="2355" customFormat="1">
      <c r="B157" s="2382"/>
      <c r="C157" s="2382"/>
      <c r="D157" s="2382"/>
      <c r="E157" s="2382"/>
      <c r="F157" s="2382"/>
      <c r="G157" s="2383"/>
      <c r="H157" s="2382"/>
      <c r="I157" s="2383"/>
      <c r="J157" s="2382"/>
      <c r="K157" s="2382"/>
      <c r="L157" s="2383"/>
      <c r="M157" s="2382"/>
      <c r="N157" s="2382"/>
      <c r="O157" s="2383"/>
      <c r="P157" s="2382"/>
      <c r="Q157" s="2382"/>
      <c r="R157" s="2384"/>
    </row>
    <row r="158" spans="2:18" s="2355" customFormat="1">
      <c r="B158" s="2382"/>
      <c r="C158" s="2382"/>
      <c r="D158" s="2382"/>
      <c r="E158" s="2382"/>
      <c r="F158" s="2382"/>
      <c r="G158" s="2383"/>
      <c r="H158" s="2382"/>
      <c r="I158" s="2383"/>
      <c r="J158" s="2382"/>
      <c r="K158" s="2382"/>
      <c r="L158" s="2383"/>
      <c r="M158" s="2382"/>
      <c r="N158" s="2382"/>
      <c r="O158" s="2383"/>
      <c r="P158" s="2382"/>
      <c r="Q158" s="2382"/>
      <c r="R158" s="2384"/>
    </row>
    <row r="159" spans="2:18" s="2355" customFormat="1">
      <c r="B159" s="2382"/>
      <c r="C159" s="2382"/>
      <c r="D159" s="2382"/>
      <c r="E159" s="2382"/>
      <c r="F159" s="2382"/>
      <c r="G159" s="2383"/>
      <c r="H159" s="2382"/>
      <c r="I159" s="2383"/>
      <c r="J159" s="2382"/>
      <c r="K159" s="2382"/>
      <c r="L159" s="2383"/>
      <c r="M159" s="2382"/>
      <c r="N159" s="2382"/>
      <c r="O159" s="2383"/>
      <c r="P159" s="2382"/>
      <c r="Q159" s="2382"/>
      <c r="R159" s="2384"/>
    </row>
    <row r="160" spans="2:18" s="2355" customFormat="1">
      <c r="B160" s="2382"/>
      <c r="C160" s="2382"/>
      <c r="D160" s="2382"/>
      <c r="E160" s="2382"/>
      <c r="F160" s="2382"/>
      <c r="G160" s="2383"/>
      <c r="H160" s="2382"/>
      <c r="I160" s="2383"/>
      <c r="J160" s="2382"/>
      <c r="K160" s="2382"/>
      <c r="L160" s="2383"/>
      <c r="M160" s="2382"/>
      <c r="N160" s="2382"/>
      <c r="O160" s="2383"/>
      <c r="P160" s="2382"/>
      <c r="Q160" s="2382"/>
      <c r="R160" s="2384"/>
    </row>
    <row r="161" spans="2:18" s="2355" customFormat="1">
      <c r="B161" s="2382"/>
      <c r="C161" s="2382"/>
      <c r="D161" s="2382"/>
      <c r="E161" s="2382"/>
      <c r="F161" s="2382"/>
      <c r="G161" s="2383"/>
      <c r="H161" s="2382"/>
      <c r="I161" s="2383"/>
      <c r="J161" s="2382"/>
      <c r="K161" s="2382"/>
      <c r="L161" s="2383"/>
      <c r="M161" s="2382"/>
      <c r="N161" s="2382"/>
      <c r="O161" s="2383"/>
      <c r="P161" s="2382"/>
      <c r="Q161" s="2382"/>
      <c r="R161" s="2384"/>
    </row>
    <row r="162" spans="2:18" s="2355" customFormat="1">
      <c r="B162" s="2382"/>
      <c r="C162" s="2382"/>
      <c r="D162" s="2382"/>
      <c r="E162" s="2382"/>
      <c r="F162" s="2382"/>
      <c r="G162" s="2383"/>
      <c r="H162" s="2382"/>
      <c r="I162" s="2383"/>
      <c r="J162" s="2382"/>
      <c r="K162" s="2382"/>
      <c r="L162" s="2383"/>
      <c r="M162" s="2382"/>
      <c r="N162" s="2382"/>
      <c r="O162" s="2383"/>
      <c r="P162" s="2382"/>
      <c r="Q162" s="2382"/>
      <c r="R162" s="2384"/>
    </row>
    <row r="163" spans="2:18" s="2355" customFormat="1">
      <c r="B163" s="2382"/>
      <c r="C163" s="2382"/>
      <c r="D163" s="2382"/>
      <c r="E163" s="2382"/>
      <c r="F163" s="2382"/>
      <c r="G163" s="2383"/>
      <c r="H163" s="2382"/>
      <c r="I163" s="2383"/>
      <c r="J163" s="2382"/>
      <c r="K163" s="2382"/>
      <c r="L163" s="2383"/>
      <c r="M163" s="2382"/>
      <c r="N163" s="2382"/>
      <c r="O163" s="2383"/>
      <c r="P163" s="2382"/>
      <c r="Q163" s="2382"/>
      <c r="R163" s="2384"/>
    </row>
    <row r="164" spans="2:18" s="2355" customFormat="1">
      <c r="B164" s="2382"/>
      <c r="C164" s="2382"/>
      <c r="D164" s="2382"/>
      <c r="E164" s="2382"/>
      <c r="F164" s="2382"/>
      <c r="G164" s="2383"/>
      <c r="H164" s="2382"/>
      <c r="I164" s="2383"/>
      <c r="J164" s="2382"/>
      <c r="K164" s="2382"/>
      <c r="L164" s="2383"/>
      <c r="M164" s="2382"/>
      <c r="N164" s="2382"/>
      <c r="O164" s="2383"/>
      <c r="P164" s="2382"/>
      <c r="Q164" s="2382"/>
      <c r="R164" s="2384"/>
    </row>
    <row r="165" spans="2:18" s="2355" customFormat="1">
      <c r="B165" s="2382"/>
      <c r="C165" s="2382"/>
      <c r="D165" s="2382"/>
      <c r="E165" s="2382"/>
      <c r="F165" s="2382"/>
      <c r="G165" s="2383"/>
      <c r="H165" s="2382"/>
      <c r="I165" s="2383"/>
      <c r="J165" s="2382"/>
      <c r="K165" s="2382"/>
      <c r="L165" s="2383"/>
      <c r="M165" s="2382"/>
      <c r="N165" s="2382"/>
      <c r="O165" s="2383"/>
      <c r="P165" s="2382"/>
      <c r="Q165" s="2382"/>
      <c r="R165" s="2384"/>
    </row>
    <row r="166" spans="2:18" s="2355" customFormat="1">
      <c r="B166" s="2382"/>
      <c r="C166" s="2382"/>
      <c r="D166" s="2382"/>
      <c r="E166" s="2382"/>
      <c r="F166" s="2382"/>
      <c r="G166" s="2383"/>
      <c r="H166" s="2382"/>
      <c r="I166" s="2383"/>
      <c r="J166" s="2382"/>
      <c r="K166" s="2382"/>
      <c r="L166" s="2383"/>
      <c r="M166" s="2382"/>
      <c r="N166" s="2382"/>
      <c r="O166" s="2383"/>
      <c r="P166" s="2382"/>
      <c r="Q166" s="2382"/>
      <c r="R166" s="2384"/>
    </row>
    <row r="167" spans="2:18" s="2355" customFormat="1">
      <c r="B167" s="2382"/>
      <c r="C167" s="2382"/>
      <c r="D167" s="2382"/>
      <c r="E167" s="2382"/>
      <c r="F167" s="2382"/>
      <c r="G167" s="2383"/>
      <c r="H167" s="2382"/>
      <c r="I167" s="2383"/>
      <c r="J167" s="2382"/>
      <c r="K167" s="2382"/>
      <c r="L167" s="2383"/>
      <c r="M167" s="2382"/>
      <c r="N167" s="2382"/>
      <c r="O167" s="2383"/>
      <c r="P167" s="2382"/>
      <c r="Q167" s="2382"/>
      <c r="R167" s="2384"/>
    </row>
    <row r="168" spans="2:18" s="2355" customFormat="1">
      <c r="B168" s="2382"/>
      <c r="C168" s="2382"/>
      <c r="D168" s="2382"/>
      <c r="E168" s="2382"/>
      <c r="F168" s="2382"/>
      <c r="G168" s="2383"/>
      <c r="H168" s="2382"/>
      <c r="I168" s="2383"/>
      <c r="J168" s="2382"/>
      <c r="K168" s="2382"/>
      <c r="L168" s="2383"/>
      <c r="M168" s="2382"/>
      <c r="N168" s="2382"/>
      <c r="O168" s="2383"/>
      <c r="P168" s="2382"/>
      <c r="Q168" s="2382"/>
      <c r="R168" s="2384"/>
    </row>
    <row r="169" spans="2:18" s="2355" customFormat="1">
      <c r="B169" s="2382"/>
      <c r="C169" s="2382"/>
      <c r="D169" s="2382"/>
      <c r="E169" s="2382"/>
      <c r="F169" s="2382"/>
      <c r="G169" s="2383"/>
      <c r="H169" s="2382"/>
      <c r="I169" s="2383"/>
      <c r="J169" s="2382"/>
      <c r="K169" s="2382"/>
      <c r="L169" s="2383"/>
      <c r="M169" s="2382"/>
      <c r="N169" s="2382"/>
      <c r="O169" s="2383"/>
      <c r="P169" s="2382"/>
      <c r="Q169" s="2382"/>
      <c r="R169" s="2384"/>
    </row>
    <row r="170" spans="2:18" s="2355" customFormat="1">
      <c r="B170" s="2382"/>
      <c r="C170" s="2382"/>
      <c r="D170" s="2382"/>
      <c r="E170" s="2382"/>
      <c r="F170" s="2382"/>
      <c r="G170" s="2383"/>
      <c r="H170" s="2382"/>
      <c r="I170" s="2383"/>
      <c r="J170" s="2382"/>
      <c r="K170" s="2382"/>
      <c r="L170" s="2383"/>
      <c r="M170" s="2382"/>
      <c r="N170" s="2382"/>
      <c r="O170" s="2383"/>
      <c r="P170" s="2382"/>
      <c r="Q170" s="2382"/>
      <c r="R170" s="2384"/>
    </row>
    <row r="171" spans="2:18" s="2355" customFormat="1">
      <c r="B171" s="2382"/>
      <c r="C171" s="2382"/>
      <c r="D171" s="2382"/>
      <c r="E171" s="2382"/>
      <c r="F171" s="2382"/>
      <c r="G171" s="2383"/>
      <c r="H171" s="2382"/>
      <c r="I171" s="2383"/>
      <c r="J171" s="2382"/>
      <c r="K171" s="2382"/>
      <c r="L171" s="2383"/>
      <c r="M171" s="2382"/>
      <c r="N171" s="2382"/>
      <c r="O171" s="2383"/>
      <c r="P171" s="2382"/>
      <c r="Q171" s="2382"/>
      <c r="R171" s="2384"/>
    </row>
    <row r="172" spans="2:18" s="2355" customFormat="1">
      <c r="B172" s="2382"/>
      <c r="C172" s="2382"/>
      <c r="D172" s="2382"/>
      <c r="E172" s="2382"/>
      <c r="F172" s="2382"/>
      <c r="G172" s="2383"/>
      <c r="H172" s="2382"/>
      <c r="I172" s="2383"/>
      <c r="J172" s="2382"/>
      <c r="K172" s="2382"/>
      <c r="L172" s="2383"/>
      <c r="M172" s="2382"/>
      <c r="N172" s="2382"/>
      <c r="O172" s="2383"/>
      <c r="P172" s="2382"/>
      <c r="Q172" s="2382"/>
      <c r="R172" s="2384"/>
    </row>
    <row r="173" spans="2:18" s="2355" customFormat="1">
      <c r="B173" s="2382"/>
      <c r="C173" s="2382"/>
      <c r="D173" s="2382"/>
      <c r="E173" s="2382"/>
      <c r="F173" s="2382"/>
      <c r="G173" s="2383"/>
      <c r="H173" s="2382"/>
      <c r="I173" s="2383"/>
      <c r="J173" s="2382"/>
      <c r="K173" s="2382"/>
      <c r="L173" s="2383"/>
      <c r="M173" s="2382"/>
      <c r="N173" s="2382"/>
      <c r="O173" s="2383"/>
      <c r="P173" s="2382"/>
      <c r="Q173" s="2382"/>
      <c r="R173" s="2384"/>
    </row>
    <row r="174" spans="2:18" s="2355" customFormat="1">
      <c r="B174" s="2382"/>
      <c r="C174" s="2382"/>
      <c r="D174" s="2382"/>
      <c r="E174" s="2382"/>
      <c r="F174" s="2382"/>
      <c r="G174" s="2383"/>
      <c r="H174" s="2382"/>
      <c r="I174" s="2383"/>
      <c r="J174" s="2382"/>
      <c r="K174" s="2382"/>
      <c r="L174" s="2383"/>
      <c r="M174" s="2382"/>
      <c r="N174" s="2382"/>
      <c r="O174" s="2383"/>
      <c r="P174" s="2382"/>
      <c r="Q174" s="2382"/>
      <c r="R174" s="2384"/>
    </row>
    <row r="175" spans="2:18" s="2355" customFormat="1">
      <c r="B175" s="2382"/>
      <c r="C175" s="2382"/>
      <c r="D175" s="2382"/>
      <c r="E175" s="2382"/>
      <c r="F175" s="2382"/>
      <c r="G175" s="2383"/>
      <c r="H175" s="2382"/>
      <c r="I175" s="2383"/>
      <c r="J175" s="2382"/>
      <c r="K175" s="2382"/>
      <c r="L175" s="2383"/>
      <c r="M175" s="2382"/>
      <c r="N175" s="2382"/>
      <c r="O175" s="2383"/>
      <c r="P175" s="2382"/>
      <c r="Q175" s="2382"/>
      <c r="R175" s="2384"/>
    </row>
    <row r="176" spans="2:18" s="2355" customFormat="1">
      <c r="B176" s="2382"/>
      <c r="C176" s="2382"/>
      <c r="D176" s="2382"/>
      <c r="E176" s="2382"/>
      <c r="F176" s="2382"/>
      <c r="G176" s="2383"/>
      <c r="H176" s="2382"/>
      <c r="I176" s="2383"/>
      <c r="J176" s="2382"/>
      <c r="K176" s="2382"/>
      <c r="L176" s="2383"/>
      <c r="M176" s="2382"/>
      <c r="N176" s="2382"/>
      <c r="O176" s="2383"/>
      <c r="P176" s="2382"/>
      <c r="Q176" s="2382"/>
      <c r="R176" s="2384"/>
    </row>
    <row r="177" spans="1:18" s="2355" customFormat="1">
      <c r="B177" s="2382"/>
      <c r="C177" s="2382"/>
      <c r="D177" s="2382"/>
      <c r="E177" s="2382"/>
      <c r="F177" s="2382"/>
      <c r="G177" s="2383"/>
      <c r="H177" s="2382"/>
      <c r="I177" s="2383"/>
      <c r="J177" s="2382"/>
      <c r="K177" s="2382"/>
      <c r="L177" s="2383"/>
      <c r="M177" s="2382"/>
      <c r="N177" s="2382"/>
      <c r="O177" s="2383"/>
      <c r="P177" s="2382"/>
      <c r="Q177" s="2382"/>
      <c r="R177" s="2384"/>
    </row>
    <row r="178" spans="1:18" s="2355" customFormat="1">
      <c r="B178" s="2382"/>
      <c r="C178" s="2382"/>
      <c r="D178" s="2382"/>
      <c r="E178" s="2382"/>
      <c r="F178" s="2382"/>
      <c r="G178" s="2383"/>
      <c r="H178" s="2382"/>
      <c r="I178" s="2383"/>
      <c r="J178" s="2382"/>
      <c r="K178" s="2382"/>
      <c r="L178" s="2383"/>
      <c r="M178" s="2382"/>
      <c r="N178" s="2382"/>
      <c r="O178" s="2383"/>
      <c r="P178" s="2382"/>
      <c r="Q178" s="2382"/>
      <c r="R178" s="2384"/>
    </row>
    <row r="179" spans="1:18" s="2355" customFormat="1">
      <c r="B179" s="2382"/>
      <c r="C179" s="2382"/>
      <c r="D179" s="2382"/>
      <c r="E179" s="2382"/>
      <c r="F179" s="2382"/>
      <c r="G179" s="2383"/>
      <c r="H179" s="2382"/>
      <c r="I179" s="2383"/>
      <c r="J179" s="2382"/>
      <c r="K179" s="2382"/>
      <c r="L179" s="2383"/>
      <c r="M179" s="2382"/>
      <c r="N179" s="2382"/>
      <c r="O179" s="2383"/>
      <c r="P179" s="2382"/>
      <c r="Q179" s="2382"/>
      <c r="R179" s="2384"/>
    </row>
    <row r="180" spans="1:18" s="2355" customFormat="1">
      <c r="B180" s="2382"/>
      <c r="C180" s="2382"/>
      <c r="D180" s="2382"/>
      <c r="E180" s="2382"/>
      <c r="F180" s="2382"/>
      <c r="G180" s="2383"/>
      <c r="H180" s="2382"/>
      <c r="I180" s="2383"/>
      <c r="J180" s="2382"/>
      <c r="K180" s="2382"/>
      <c r="L180" s="2383"/>
      <c r="M180" s="2382"/>
      <c r="N180" s="2382"/>
      <c r="O180" s="2383"/>
      <c r="P180" s="2382"/>
      <c r="Q180" s="2382"/>
      <c r="R180" s="2384"/>
    </row>
    <row r="181" spans="1:18" s="2355" customFormat="1">
      <c r="B181" s="2382"/>
      <c r="C181" s="2382"/>
      <c r="D181" s="2382"/>
      <c r="E181" s="2382"/>
      <c r="F181" s="2382"/>
      <c r="G181" s="2383"/>
      <c r="H181" s="2382"/>
      <c r="I181" s="2383"/>
      <c r="J181" s="2382"/>
      <c r="K181" s="2382"/>
      <c r="L181" s="2383"/>
      <c r="M181" s="2382"/>
      <c r="N181" s="2382"/>
      <c r="O181" s="2383"/>
      <c r="P181" s="2382"/>
      <c r="Q181" s="2382"/>
      <c r="R181" s="2384"/>
    </row>
    <row r="182" spans="1:18" s="2355" customFormat="1">
      <c r="B182" s="2382"/>
      <c r="C182" s="2382"/>
      <c r="D182" s="2382"/>
      <c r="E182" s="2382"/>
      <c r="F182" s="2382"/>
      <c r="G182" s="2383"/>
      <c r="H182" s="2382"/>
      <c r="I182" s="2383"/>
      <c r="J182" s="2382"/>
      <c r="K182" s="2382"/>
      <c r="L182" s="2383"/>
      <c r="M182" s="2382"/>
      <c r="N182" s="2382"/>
      <c r="O182" s="2383"/>
      <c r="P182" s="2382"/>
      <c r="Q182" s="2382"/>
      <c r="R182" s="2384"/>
    </row>
    <row r="183" spans="1:18" s="2355" customFormat="1">
      <c r="B183" s="2382"/>
      <c r="C183" s="2382"/>
      <c r="D183" s="2382"/>
      <c r="E183" s="2382"/>
      <c r="F183" s="2382"/>
      <c r="G183" s="2383"/>
      <c r="H183" s="2382"/>
      <c r="I183" s="2383"/>
      <c r="J183" s="2382"/>
      <c r="K183" s="2382"/>
      <c r="L183" s="2383"/>
      <c r="M183" s="2382"/>
      <c r="N183" s="2382"/>
      <c r="O183" s="2383"/>
      <c r="P183" s="2382"/>
      <c r="Q183" s="2382"/>
      <c r="R183" s="2384"/>
    </row>
    <row r="184" spans="1:18" s="2355" customFormat="1">
      <c r="B184" s="2382"/>
      <c r="C184" s="2382"/>
      <c r="D184" s="2382"/>
      <c r="E184" s="2382"/>
      <c r="F184" s="2382"/>
      <c r="G184" s="2383"/>
      <c r="H184" s="2382"/>
      <c r="I184" s="2383"/>
      <c r="J184" s="2382"/>
      <c r="K184" s="2382"/>
      <c r="L184" s="2383"/>
      <c r="M184" s="2382"/>
      <c r="N184" s="2382"/>
      <c r="O184" s="2383"/>
      <c r="P184" s="2382"/>
      <c r="Q184" s="2382"/>
      <c r="R184" s="2384"/>
    </row>
    <row r="185" spans="1:18" s="2355"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5"/>
      <c r="B186" s="2382"/>
      <c r="C186" s="2382"/>
      <c r="E186" s="2382"/>
      <c r="F186" s="2382"/>
      <c r="G186" s="2383"/>
    </row>
    <row r="187" spans="1:18">
      <c r="A187" s="2355"/>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1" sqref="C11"/>
    </sheetView>
  </sheetViews>
  <sheetFormatPr defaultColWidth="9" defaultRowHeight="13.5"/>
  <cols>
    <col min="1" max="1" width="23.375" style="1738" customWidth="1"/>
    <col min="2" max="9" width="15.75" style="1738" customWidth="1"/>
    <col min="10" max="16384" width="9" style="1738"/>
  </cols>
  <sheetData>
    <row r="1" spans="1:10" ht="16.5">
      <c r="A1" s="1743" t="s">
        <v>1365</v>
      </c>
      <c r="B1" s="1743">
        <f>SUM(B14:B23)</f>
        <v>1812.99</v>
      </c>
      <c r="C1" s="1742"/>
      <c r="D1" s="1742"/>
      <c r="E1" s="1742"/>
      <c r="F1" s="1742"/>
      <c r="G1" s="1740"/>
    </row>
    <row r="2" spans="1:10" ht="16.5">
      <c r="A2" s="1743" t="s">
        <v>1353</v>
      </c>
      <c r="B2" s="1743">
        <f>SUM(C14:C23)</f>
        <v>1000.01</v>
      </c>
      <c r="C2" s="1742"/>
      <c r="D2" s="1742"/>
      <c r="E2" s="1742"/>
      <c r="F2" s="1742"/>
      <c r="G2" s="1740"/>
    </row>
    <row r="3" spans="1:10" ht="16.5">
      <c r="A3" s="1743" t="s">
        <v>1362</v>
      </c>
      <c r="B3" s="1744">
        <f>项目基本情况!D3</f>
        <v>43293</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5411</v>
      </c>
      <c r="C5" s="1743">
        <f ca="1">ROUND(B5*10000/$B$1,0)</f>
        <v>29846</v>
      </c>
      <c r="D5" s="1743">
        <f ca="1">ROUND(B5*10000/$B$2,0)</f>
        <v>54109</v>
      </c>
      <c r="E5" s="1742"/>
      <c r="F5" s="1740"/>
      <c r="G5" s="1740"/>
    </row>
    <row r="6" spans="1:10" ht="16.5">
      <c r="A6" s="1743" t="s">
        <v>1356</v>
      </c>
      <c r="B6" s="1743">
        <f ca="1">SUM(G14:G23)</f>
        <v>5411</v>
      </c>
      <c r="C6" s="1743">
        <f ca="1">ROUND(B6*10000/$B$1,0)</f>
        <v>29846</v>
      </c>
      <c r="D6" s="1743">
        <f ca="1">ROUND(B6*10000/$B$2,0)</f>
        <v>54109</v>
      </c>
      <c r="E6" s="1742"/>
      <c r="F6" s="1740"/>
      <c r="G6" s="1740"/>
    </row>
    <row r="7" spans="1:10" ht="16.5">
      <c r="A7" s="1743" t="s">
        <v>1364</v>
      </c>
      <c r="B7" s="1743">
        <f ca="1">SUM(H14:H23)</f>
        <v>5411</v>
      </c>
      <c r="C7" s="1743">
        <f ca="1">ROUND(B7*10000/$B$1,0)</f>
        <v>29846</v>
      </c>
      <c r="D7" s="1743">
        <f ca="1">ROUND(B7*10000/$B$2,0)</f>
        <v>54109</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1812.99</v>
      </c>
      <c r="C14" s="1741">
        <f>结果表!C118</f>
        <v>1000.01</v>
      </c>
      <c r="D14" s="1741">
        <f ca="1">结果表!H118</f>
        <v>5411</v>
      </c>
      <c r="E14" s="1741">
        <f ca="1">ROUND(D14*10000/B14,0)</f>
        <v>29846</v>
      </c>
      <c r="F14" s="1741">
        <f ca="1">ROUND(D14*10000/C14,0)</f>
        <v>54109</v>
      </c>
      <c r="G14" s="1741">
        <f ca="1">结果表!D122</f>
        <v>5411</v>
      </c>
      <c r="H14" s="1741">
        <f ca="1">结果表!D124</f>
        <v>5411</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2" t="s">
        <v>2109</v>
      </c>
      <c r="B1" s="2405"/>
      <c r="C1" s="2406" t="s">
        <v>3056</v>
      </c>
      <c r="D1" s="2405"/>
      <c r="E1" s="2405"/>
      <c r="F1" s="2407" t="s">
        <v>2110</v>
      </c>
      <c r="G1" s="2068" t="s">
        <v>3048</v>
      </c>
      <c r="H1" s="2408" t="str">
        <f>IF(G1="现房","——","估价对象范围")</f>
        <v>——</v>
      </c>
      <c r="I1" s="2409"/>
    </row>
    <row r="2" spans="1:12" ht="21.75" customHeight="1" thickBot="1">
      <c r="A2" s="3145" t="str">
        <f>项目基本情况!S2</f>
        <v>北京市丰台区海鹰路6号院28号楼房地产</v>
      </c>
      <c r="B2" s="3146"/>
      <c r="C2" s="3146"/>
      <c r="D2" s="3146"/>
      <c r="E2" s="3146"/>
      <c r="F2" s="3146"/>
      <c r="G2" s="3146"/>
      <c r="H2" s="3146"/>
      <c r="I2" s="3147"/>
    </row>
    <row r="3" spans="1:12" ht="12.75">
      <c r="A3" s="3148" t="s">
        <v>2111</v>
      </c>
      <c r="B3" s="3149"/>
      <c r="C3" s="3149"/>
      <c r="D3" s="3149"/>
      <c r="E3" s="3149"/>
      <c r="F3" s="3149"/>
      <c r="G3" s="3149"/>
      <c r="H3" s="3149"/>
      <c r="I3" s="3149"/>
    </row>
    <row r="4" spans="1:12" ht="14.25">
      <c r="A4" s="2412" t="s">
        <v>2112</v>
      </c>
      <c r="B4" s="2413" t="s">
        <v>2113</v>
      </c>
      <c r="C4" s="2414" t="s">
        <v>3105</v>
      </c>
      <c r="D4" s="2414" t="s">
        <v>3106</v>
      </c>
      <c r="E4" s="3129" t="s">
        <v>2114</v>
      </c>
      <c r="F4" s="3142"/>
      <c r="G4" s="3142"/>
      <c r="H4" s="3142"/>
      <c r="I4" s="3130"/>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120" t="s">
        <v>2115</v>
      </c>
      <c r="B5" s="3046">
        <v>25</v>
      </c>
      <c r="C5" s="3150"/>
      <c r="D5" s="3138"/>
      <c r="E5" s="140" t="s">
        <v>2116</v>
      </c>
      <c r="F5" s="2416"/>
      <c r="G5" s="2416"/>
      <c r="H5" s="2416"/>
      <c r="I5" s="1831"/>
    </row>
    <row r="6" spans="1:12" ht="12.75">
      <c r="A6" s="3120"/>
      <c r="B6" s="3046"/>
      <c r="C6" s="3152"/>
      <c r="D6" s="3138"/>
      <c r="E6" s="140" t="s">
        <v>2117</v>
      </c>
      <c r="F6" s="2416"/>
      <c r="G6" s="2416"/>
      <c r="H6" s="2416"/>
      <c r="I6" s="1831"/>
    </row>
    <row r="7" spans="1:12" ht="12.75">
      <c r="A7" s="3120"/>
      <c r="B7" s="3046"/>
      <c r="C7" s="3151"/>
      <c r="D7" s="3138"/>
      <c r="E7" s="140" t="s">
        <v>2118</v>
      </c>
      <c r="F7" s="2416"/>
      <c r="G7" s="2416"/>
      <c r="H7" s="2416"/>
      <c r="I7" s="1831"/>
    </row>
    <row r="8" spans="1:12" ht="12.75">
      <c r="A8" s="3120" t="s">
        <v>2119</v>
      </c>
      <c r="B8" s="3046">
        <v>15</v>
      </c>
      <c r="C8" s="3150"/>
      <c r="D8" s="3138"/>
      <c r="E8" s="140" t="s">
        <v>2120</v>
      </c>
      <c r="F8" s="2416"/>
      <c r="G8" s="2416"/>
      <c r="H8" s="2416"/>
      <c r="I8" s="1831"/>
    </row>
    <row r="9" spans="1:12" ht="12.75">
      <c r="A9" s="3120"/>
      <c r="B9" s="3046"/>
      <c r="C9" s="3151"/>
      <c r="D9" s="3138"/>
      <c r="E9" s="140" t="s">
        <v>2121</v>
      </c>
      <c r="F9" s="2416"/>
      <c r="G9" s="2416"/>
      <c r="H9" s="2416"/>
      <c r="I9" s="1831"/>
    </row>
    <row r="10" spans="1:12" ht="12.75">
      <c r="A10" s="3120" t="s">
        <v>2122</v>
      </c>
      <c r="B10" s="3046">
        <v>15</v>
      </c>
      <c r="C10" s="3150"/>
      <c r="D10" s="3138"/>
      <c r="E10" s="140" t="s">
        <v>2123</v>
      </c>
      <c r="F10" s="2416"/>
      <c r="G10" s="2416"/>
      <c r="H10" s="2416"/>
      <c r="I10" s="1831"/>
    </row>
    <row r="11" spans="1:12" ht="12.75">
      <c r="A11" s="3120"/>
      <c r="B11" s="3046"/>
      <c r="C11" s="3151"/>
      <c r="D11" s="3138"/>
      <c r="E11" s="140" t="s">
        <v>2124</v>
      </c>
      <c r="F11" s="2416"/>
      <c r="G11" s="2416"/>
      <c r="H11" s="2416"/>
      <c r="I11" s="1831"/>
    </row>
    <row r="12" spans="1:12" ht="12.75">
      <c r="A12" s="3120" t="s">
        <v>2125</v>
      </c>
      <c r="B12" s="3046">
        <v>15</v>
      </c>
      <c r="C12" s="3150"/>
      <c r="D12" s="3138"/>
      <c r="E12" s="140" t="s">
        <v>2126</v>
      </c>
      <c r="F12" s="2416"/>
      <c r="G12" s="2416"/>
      <c r="H12" s="2416"/>
      <c r="I12" s="1831"/>
    </row>
    <row r="13" spans="1:12" ht="12.75">
      <c r="A13" s="3120"/>
      <c r="B13" s="3046"/>
      <c r="C13" s="3151"/>
      <c r="D13" s="3138"/>
      <c r="E13" s="140" t="s">
        <v>2127</v>
      </c>
      <c r="F13" s="2416"/>
      <c r="G13" s="2416"/>
      <c r="H13" s="2416"/>
      <c r="I13" s="1831"/>
    </row>
    <row r="14" spans="1:12" ht="12.75">
      <c r="A14" s="3120" t="s">
        <v>2128</v>
      </c>
      <c r="B14" s="3046">
        <v>30</v>
      </c>
      <c r="C14" s="3150">
        <v>65</v>
      </c>
      <c r="D14" s="3138">
        <v>35</v>
      </c>
      <c r="E14" s="140" t="s">
        <v>2129</v>
      </c>
      <c r="F14" s="2416"/>
      <c r="G14" s="2416"/>
      <c r="H14" s="2416"/>
      <c r="I14" s="1831"/>
    </row>
    <row r="15" spans="1:12" ht="12.75">
      <c r="A15" s="3120"/>
      <c r="B15" s="3046"/>
      <c r="C15" s="3152"/>
      <c r="D15" s="3138"/>
      <c r="E15" s="140" t="s">
        <v>2130</v>
      </c>
      <c r="F15" s="2416"/>
      <c r="G15" s="2416"/>
      <c r="H15" s="2416"/>
      <c r="I15" s="1831"/>
    </row>
    <row r="16" spans="1:12" ht="12.75">
      <c r="A16" s="3120"/>
      <c r="B16" s="3046"/>
      <c r="C16" s="3151"/>
      <c r="D16" s="3138"/>
      <c r="E16" s="140" t="s">
        <v>2131</v>
      </c>
      <c r="F16" s="2416"/>
      <c r="G16" s="2416"/>
      <c r="H16" s="2416"/>
      <c r="I16" s="1831"/>
    </row>
    <row r="17" spans="1:35" ht="15">
      <c r="A17" s="2417" t="s">
        <v>2132</v>
      </c>
      <c r="B17" s="64"/>
      <c r="C17" s="141">
        <f>SUM(C5:C16)</f>
        <v>65</v>
      </c>
      <c r="D17" s="141">
        <f>SUM(D5:D16)</f>
        <v>35</v>
      </c>
      <c r="E17" s="138"/>
      <c r="F17" s="138"/>
      <c r="G17" s="138"/>
      <c r="H17" s="138"/>
      <c r="I17" s="138"/>
      <c r="K17" s="2415"/>
      <c r="L17" s="2418" t="s">
        <v>2133</v>
      </c>
      <c r="M17" s="2418" t="s">
        <v>2134</v>
      </c>
    </row>
    <row r="18" spans="1:35" ht="15.75" thickBot="1">
      <c r="A18" s="2419" t="s">
        <v>2135</v>
      </c>
      <c r="B18" s="2420"/>
      <c r="C18" s="142">
        <f>ROUND(C17/SUM(C17:D17),2)</f>
        <v>0.65</v>
      </c>
      <c r="D18" s="142">
        <f>1-C18</f>
        <v>0.35</v>
      </c>
      <c r="E18" s="138"/>
      <c r="F18" s="138"/>
      <c r="G18" s="138"/>
      <c r="H18" s="138"/>
      <c r="I18" s="138"/>
      <c r="K18" s="2415" t="s">
        <v>2136</v>
      </c>
      <c r="L18" s="2415">
        <f>IF(C1="",'数据-汇总表'!E3,SUMIF(项目类型,C1,'数据-汇总表'!E17:E26)+SUMIF(项目类型,C1,'数据-汇总表'!I17:I26))</f>
        <v>1812.99</v>
      </c>
      <c r="M18" s="2415">
        <f>IF(C1="",'数据-汇总表'!E3,SUMIF(项目类型,C1,'数据-汇总表'!E17:E26))</f>
        <v>1812.99</v>
      </c>
    </row>
    <row r="19" spans="1:35" ht="15">
      <c r="A19" s="2421" t="s">
        <v>2137</v>
      </c>
      <c r="B19" s="2422" t="s">
        <v>2138</v>
      </c>
      <c r="C19" s="143">
        <f ca="1">SUMIF(INDIRECT("'"&amp;C4&amp;"'"&amp;"!A:A"),结果表!B19,INDIRECT("'"&amp;C4&amp;"'"&amp;"!B:B"))</f>
        <v>6335</v>
      </c>
      <c r="D19" s="144">
        <f ca="1">SUMIF(INDIRECT("'"&amp;D4&amp;"'"&amp;"!A:A"),结果表!B19,INDIRECT("'"&amp;D4&amp;"'"&amp;"!B:B"))</f>
        <v>3696</v>
      </c>
      <c r="E19" s="2421" t="s">
        <v>2139</v>
      </c>
      <c r="F19" s="2422" t="s">
        <v>2138</v>
      </c>
      <c r="G19" s="145">
        <f ca="1">ROUND(C19*$C$18+D19*$D$18,0)</f>
        <v>5411</v>
      </c>
      <c r="H19" s="2423" t="s">
        <v>2140</v>
      </c>
      <c r="I19" s="138"/>
      <c r="K19" s="2415" t="s">
        <v>2141</v>
      </c>
      <c r="L19" s="2415">
        <f>IF(C1="",'数据-汇总表'!D3,SUMIF(项目类型,C1,'数据-汇总表'!D17:D26)+SUMIF(项目类型,C1,'数据-汇总表'!H17:H27))</f>
        <v>1000.01</v>
      </c>
      <c r="M19" s="2415">
        <f>IF(C1="",'数据-汇总表'!D3,SUMIF(项目类型,C1,'数据-汇总表'!D17:D26))</f>
        <v>1000.01</v>
      </c>
    </row>
    <row r="20" spans="1:35" ht="15">
      <c r="A20" s="2424"/>
      <c r="B20" s="1248" t="s">
        <v>2142</v>
      </c>
      <c r="C20" s="146">
        <f ca="1">SUMIF(INDIRECT("'"&amp;C4&amp;"'"&amp;"!A:A"),结果表!B20,INDIRECT("'"&amp;C4&amp;"'"&amp;"!B:B"))</f>
        <v>34943</v>
      </c>
      <c r="D20" s="147">
        <f ca="1">SUMIF(INDIRECT("'"&amp;D4&amp;"'"&amp;"!A:A"),结果表!B20,INDIRECT("'"&amp;D4&amp;"'"&amp;"!B:B"))</f>
        <v>20387</v>
      </c>
      <c r="E20" s="2424"/>
      <c r="F20" s="1248" t="s">
        <v>2142</v>
      </c>
      <c r="G20" s="148">
        <f ca="1">ROUND(C20*$C$18+D20*$D$18,0)</f>
        <v>29848</v>
      </c>
      <c r="H20" s="983" t="s">
        <v>2143</v>
      </c>
      <c r="I20" s="138"/>
    </row>
    <row r="21" spans="1:35" ht="15" customHeight="1" thickBot="1">
      <c r="A21" s="1003"/>
      <c r="B21" s="2425" t="s">
        <v>2144</v>
      </c>
      <c r="C21" s="789">
        <f ca="1">ROUND(C19*10000/L19,0)</f>
        <v>63349</v>
      </c>
      <c r="D21" s="790">
        <f ca="1">ROUND(D19*10000/L19,0)</f>
        <v>36960</v>
      </c>
      <c r="E21" s="1003"/>
      <c r="F21" s="2425" t="s">
        <v>2144</v>
      </c>
      <c r="G21" s="149">
        <f ca="1">ROUND(G19*10000/L19,0)</f>
        <v>54109</v>
      </c>
      <c r="H21" s="2426" t="s">
        <v>2143</v>
      </c>
      <c r="I21" s="138"/>
    </row>
    <row r="22" spans="1:35" ht="15" thickBot="1">
      <c r="A22" s="2268" t="s">
        <v>2145</v>
      </c>
      <c r="B22" s="2427"/>
      <c r="C22" s="2428"/>
      <c r="D22" s="791">
        <f ca="1">IF(C19&lt;D19,D19/C19-1,C19/D19-1)</f>
        <v>0.7140151515151516</v>
      </c>
      <c r="E22" s="138"/>
      <c r="F22" s="138"/>
      <c r="G22" s="138"/>
      <c r="H22" s="138"/>
      <c r="I22" s="138"/>
    </row>
    <row r="23" spans="1:35" ht="13.5" thickBot="1">
      <c r="A23" s="2405"/>
      <c r="B23" s="2405"/>
      <c r="C23" s="2405"/>
      <c r="D23" s="2405"/>
      <c r="E23" s="138"/>
      <c r="F23" s="138"/>
      <c r="G23" s="138"/>
      <c r="H23" s="138"/>
      <c r="I23" s="138"/>
    </row>
    <row r="24" spans="1:35" ht="14.25">
      <c r="A24" s="3159" t="s">
        <v>2146</v>
      </c>
      <c r="B24" s="2422" t="s">
        <v>2138</v>
      </c>
      <c r="C24" s="145">
        <f>IF(B30=0,0,D30)</f>
        <v>0</v>
      </c>
      <c r="D24" s="2429"/>
      <c r="E24" s="138"/>
      <c r="F24" s="138"/>
      <c r="G24" s="138"/>
      <c r="H24" s="138"/>
      <c r="I24" s="138"/>
    </row>
    <row r="25" spans="1:35" ht="14.25">
      <c r="A25" s="3160"/>
      <c r="B25" s="1248" t="s">
        <v>2142</v>
      </c>
      <c r="C25" s="150">
        <f>IF(B30=0,0,C30)</f>
        <v>0</v>
      </c>
      <c r="D25" s="2430"/>
      <c r="E25" s="138"/>
      <c r="F25" s="138"/>
      <c r="G25" s="138"/>
      <c r="H25" s="138"/>
      <c r="I25" s="138"/>
    </row>
    <row r="26" spans="1:35" ht="13.5" customHeight="1">
      <c r="A26" s="2431" t="s">
        <v>2147</v>
      </c>
      <c r="B26" s="151" t="s">
        <v>2148</v>
      </c>
      <c r="C26" s="151" t="s">
        <v>2149</v>
      </c>
      <c r="D26" s="152" t="s">
        <v>2150</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2151</v>
      </c>
      <c r="B30" s="151"/>
      <c r="C30" s="151"/>
      <c r="D30" s="151"/>
      <c r="E30" s="2914" t="s">
        <v>3026</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2152</v>
      </c>
      <c r="B32" s="2435"/>
      <c r="C32" s="153">
        <f ca="1">IF(D32="总价",G19-C24,G20-C25)</f>
        <v>5411</v>
      </c>
      <c r="D32" s="2436" t="s">
        <v>2153</v>
      </c>
      <c r="E32" s="138"/>
      <c r="F32" s="138"/>
      <c r="G32" s="138"/>
      <c r="H32" s="138"/>
      <c r="I32" s="138"/>
    </row>
    <row r="33" spans="1:15" ht="15">
      <c r="A33" s="960" t="s">
        <v>2154</v>
      </c>
      <c r="B33" s="2437"/>
      <c r="C33" s="2438" t="s">
        <v>3135</v>
      </c>
      <c r="D33" s="2439" t="s">
        <v>3106</v>
      </c>
      <c r="E33" s="2440" t="s">
        <v>2155</v>
      </c>
      <c r="F33" s="2441" t="str">
        <f>IF(D32="楼面单价","取值（单价）","取值（总价）")</f>
        <v>取值（总价）</v>
      </c>
      <c r="G33" s="138"/>
      <c r="H33" s="138"/>
      <c r="I33" s="138"/>
    </row>
    <row r="34" spans="1:15" ht="15">
      <c r="A34" s="2442"/>
      <c r="B34" s="2443" t="s">
        <v>2156</v>
      </c>
      <c r="C34" s="157">
        <f ca="1">IF(C33="自定义",F34,C32-C35)</f>
        <v>4518</v>
      </c>
      <c r="D34" s="1056">
        <f ca="1">IF(C33="自定义",ROUND(C34/C32,3),IF(C33="收益比率",SUMIF(INDIRECT("'"&amp;D33&amp;"'"&amp;"!b:b"),"土地收益比率",INDIRECT("'"&amp;D33&amp;"'"&amp;"!c:c")),SUMIF(INDIRECT("'"&amp;D33&amp;"'"&amp;"!b:b"),"土地成本比率",INDIRECT("'"&amp;D33&amp;"'"&amp;"!c:c"))))</f>
        <v>0.83499999999999996</v>
      </c>
      <c r="E34" s="2444" t="s">
        <v>2157</v>
      </c>
      <c r="F34" s="1736"/>
      <c r="G34" s="138"/>
      <c r="H34" s="138"/>
      <c r="I34" s="138"/>
    </row>
    <row r="35" spans="1:15" ht="15.75" thickBot="1">
      <c r="A35" s="2445"/>
      <c r="B35" s="2446" t="s">
        <v>2158</v>
      </c>
      <c r="C35" s="1442">
        <f ca="1">IF(C33="自定义",F35,ROUND(C32*D35,0))</f>
        <v>893</v>
      </c>
      <c r="D35" s="1443">
        <f ca="1">IF(C33="自定义",ROUND(C35/C32,3),IF(C33="收益比率",SUMIF(INDIRECT("'"&amp;D33&amp;"'"&amp;"!b:b"),"建筑物收益比率",INDIRECT("'"&amp;D33&amp;"'"&amp;"!c:c")),SUMIF(INDIRECT("'"&amp;D33&amp;"'"&amp;"!b:b"),"建筑物成本比率",INDIRECT("'"&amp;D33&amp;"'"&amp;"!c:c"))))</f>
        <v>0.16500000000000001</v>
      </c>
      <c r="E35" s="2447" t="s">
        <v>2159</v>
      </c>
      <c r="F35" s="163"/>
      <c r="G35" s="138"/>
      <c r="H35" s="138"/>
      <c r="I35" s="138"/>
    </row>
    <row r="36" spans="1:15" ht="15.75" thickBot="1">
      <c r="A36" s="3139" t="s">
        <v>2160</v>
      </c>
      <c r="B36" s="2448" t="s">
        <v>2161</v>
      </c>
      <c r="C36" s="154"/>
      <c r="D36" s="2449"/>
      <c r="E36" s="2450"/>
      <c r="F36" s="2451"/>
      <c r="G36" s="138"/>
      <c r="H36" s="138"/>
      <c r="I36" s="138"/>
    </row>
    <row r="37" spans="1:15" ht="15.75" thickBot="1">
      <c r="A37" s="3140"/>
      <c r="B37" s="2254" t="s">
        <v>2162</v>
      </c>
      <c r="C37" s="156"/>
      <c r="D37" s="1393"/>
      <c r="E37" s="1393"/>
      <c r="F37" s="2451"/>
      <c r="G37" s="138"/>
      <c r="H37" s="138"/>
      <c r="I37" s="138"/>
    </row>
    <row r="38" spans="1:15" ht="15.75" thickBot="1">
      <c r="A38" s="3141"/>
      <c r="B38" s="2452" t="s">
        <v>2163</v>
      </c>
      <c r="C38" s="727"/>
      <c r="D38" s="2453" t="s">
        <v>2164</v>
      </c>
      <c r="E38" s="1393"/>
      <c r="F38" s="2451"/>
      <c r="G38" s="138"/>
      <c r="H38" s="138"/>
      <c r="I38" s="138"/>
    </row>
    <row r="39" spans="1:15" ht="15">
      <c r="A39" s="2424" t="s">
        <v>2165</v>
      </c>
      <c r="B39" s="2454" t="s">
        <v>2166</v>
      </c>
      <c r="C39" s="2455" t="s">
        <v>2167</v>
      </c>
      <c r="D39" s="2455" t="s">
        <v>2168</v>
      </c>
      <c r="E39" s="2456" t="s">
        <v>2169</v>
      </c>
      <c r="F39" s="2451"/>
      <c r="G39" s="138"/>
      <c r="H39" s="138"/>
      <c r="I39" s="138"/>
    </row>
    <row r="40" spans="1:15" ht="14.25">
      <c r="A40" s="2457" t="s">
        <v>2170</v>
      </c>
      <c r="B40" s="158"/>
      <c r="C40" s="159"/>
      <c r="D40" s="159"/>
      <c r="E40" s="160"/>
      <c r="F40" s="2451"/>
      <c r="G40" s="138"/>
      <c r="H40" s="138"/>
      <c r="I40" s="138"/>
    </row>
    <row r="41" spans="1:15" ht="14.25">
      <c r="A41" s="2457" t="s">
        <v>2171</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2"/>
      <c r="B43" s="2152"/>
      <c r="C43" s="2152"/>
      <c r="D43" s="2152"/>
      <c r="E43" s="2152"/>
      <c r="F43" s="2459"/>
      <c r="G43" s="2459"/>
      <c r="H43" s="2459"/>
      <c r="I43" s="2460"/>
    </row>
    <row r="44" spans="1:15" ht="18.75">
      <c r="A44" s="2461" t="s">
        <v>2172</v>
      </c>
      <c r="B44" s="2462"/>
      <c r="C44" s="2462"/>
      <c r="D44" s="2463"/>
      <c r="E44" s="2463"/>
      <c r="F44" s="2464"/>
      <c r="G44" s="2464"/>
      <c r="H44" s="2464"/>
      <c r="I44" s="2464"/>
      <c r="J44" s="2465" t="s">
        <v>2173</v>
      </c>
      <c r="K44" s="2466"/>
      <c r="L44" s="2466"/>
      <c r="M44" s="2466"/>
      <c r="N44" s="2466"/>
      <c r="O44" s="2466"/>
    </row>
    <row r="45" spans="1:15" ht="14.25" customHeight="1" thickBot="1">
      <c r="A45" s="3156" t="s">
        <v>2174</v>
      </c>
      <c r="B45" s="3157"/>
      <c r="C45" s="3158"/>
      <c r="D45" s="164">
        <f ca="1">ROUND(H101*F45,0)</f>
        <v>5411</v>
      </c>
      <c r="E45" s="165" t="s">
        <v>2175</v>
      </c>
      <c r="F45" s="166">
        <v>1</v>
      </c>
      <c r="G45" s="167" t="s">
        <v>2176</v>
      </c>
      <c r="H45" s="138"/>
      <c r="I45" s="138"/>
      <c r="J45" s="3075" t="s">
        <v>2177</v>
      </c>
      <c r="K45" s="3075"/>
      <c r="L45" s="3075"/>
      <c r="M45" s="3075"/>
      <c r="N45" s="3075"/>
      <c r="O45" s="3075"/>
    </row>
    <row r="46" spans="1:15" ht="14.25" customHeight="1">
      <c r="A46" s="3153" t="s">
        <v>2178</v>
      </c>
      <c r="B46" s="3154"/>
      <c r="C46" s="3154"/>
      <c r="D46" s="3154"/>
      <c r="E46" s="3154"/>
      <c r="F46" s="3154"/>
      <c r="G46" s="3155"/>
      <c r="H46" s="2467"/>
      <c r="I46" s="168"/>
      <c r="J46" s="1809">
        <v>1</v>
      </c>
      <c r="K46" s="3075" t="s">
        <v>2179</v>
      </c>
      <c r="L46" s="3075"/>
      <c r="M46" s="3076"/>
      <c r="N46" s="3076"/>
      <c r="O46" s="3076"/>
    </row>
    <row r="47" spans="1:15" ht="12" customHeight="1">
      <c r="A47" s="169" t="s">
        <v>2180</v>
      </c>
      <c r="B47" s="170"/>
      <c r="C47" s="171"/>
      <c r="D47" s="172" t="s">
        <v>2181</v>
      </c>
      <c r="E47" s="24" t="s">
        <v>2182</v>
      </c>
      <c r="F47" s="173" t="s">
        <v>2183</v>
      </c>
      <c r="G47" s="174" t="s">
        <v>2184</v>
      </c>
      <c r="H47" s="2467"/>
      <c r="I47" s="168"/>
      <c r="J47" s="1809">
        <v>2</v>
      </c>
      <c r="K47" s="3075" t="s">
        <v>2185</v>
      </c>
      <c r="L47" s="3075"/>
      <c r="M47" s="3077">
        <f>'数据-取费表'!B2</f>
        <v>43293</v>
      </c>
      <c r="N47" s="3077"/>
      <c r="O47" s="3077"/>
    </row>
    <row r="48" spans="1:15" ht="25.5">
      <c r="A48" s="3143" t="s">
        <v>2186</v>
      </c>
      <c r="B48" s="3144"/>
      <c r="C48" s="3144"/>
      <c r="D48" s="140">
        <f>IF(H48="情况1",0,IF(H48="情况2",D52,IF(H48="情况3",D53,IF(H48="情况4",D54))))</f>
        <v>0</v>
      </c>
      <c r="E48" s="1798" t="str">
        <f>IF(H48="情况4","(销售额-原购置价)×税（费）率","销售额×税（费）率")</f>
        <v>销售额×税（费）率</v>
      </c>
      <c r="F48" s="175" t="str">
        <f>IF(H48="情况1","免征",'数据-取费表'!B41)</f>
        <v>免征</v>
      </c>
      <c r="G48" s="2468" t="s">
        <v>2187</v>
      </c>
      <c r="H48" s="2469" t="s">
        <v>2188</v>
      </c>
      <c r="I48" s="2467"/>
      <c r="J48" s="1809">
        <v>3</v>
      </c>
      <c r="K48" s="3075" t="s">
        <v>2189</v>
      </c>
      <c r="L48" s="3075"/>
      <c r="M48" s="3078">
        <f ca="1">H101</f>
        <v>5411</v>
      </c>
      <c r="N48" s="3078"/>
      <c r="O48" s="3078"/>
    </row>
    <row r="49" spans="1:35" ht="25.5" customHeight="1">
      <c r="A49" s="176" t="s">
        <v>2190</v>
      </c>
      <c r="B49" s="3123" t="s">
        <v>2191</v>
      </c>
      <c r="C49" s="3123"/>
      <c r="D49" s="177">
        <v>0</v>
      </c>
      <c r="E49" s="23" t="s">
        <v>2192</v>
      </c>
      <c r="F49" s="28" t="s">
        <v>34</v>
      </c>
      <c r="G49" s="3104"/>
      <c r="H49" s="138"/>
      <c r="I49" s="2470"/>
      <c r="J49" s="1809">
        <v>4</v>
      </c>
      <c r="K49" s="3075" t="str">
        <f>IF(项目基本情况!E8="房地产抵押价值","房地产抵押价值","抵押担保权已注销时的房地产抵押价值")</f>
        <v>抵押担保权已注销时的房地产抵押价值</v>
      </c>
      <c r="L49" s="3075"/>
      <c r="M49" s="3078">
        <f ca="1">IF(项目基本情况!E8="房地产抵押价值",H107,H109)</f>
        <v>5411</v>
      </c>
      <c r="N49" s="3078"/>
      <c r="O49" s="3078"/>
    </row>
    <row r="50" spans="1:35" ht="25.5" customHeight="1">
      <c r="A50" s="178"/>
      <c r="B50" s="3123" t="s">
        <v>2193</v>
      </c>
      <c r="C50" s="3123"/>
      <c r="D50" s="179"/>
      <c r="E50" s="31"/>
      <c r="F50" s="180"/>
      <c r="G50" s="3105"/>
      <c r="H50" s="138"/>
      <c r="I50" s="2470"/>
      <c r="J50" s="3075" t="s">
        <v>2194</v>
      </c>
      <c r="K50" s="3075"/>
      <c r="L50" s="3075"/>
      <c r="M50" s="3075"/>
      <c r="N50" s="3075"/>
      <c r="O50" s="3075"/>
    </row>
    <row r="51" spans="1:35" ht="12" customHeight="1">
      <c r="A51" s="181"/>
      <c r="B51" s="3123" t="s">
        <v>2195</v>
      </c>
      <c r="C51" s="3123"/>
      <c r="D51" s="182"/>
      <c r="E51" s="30"/>
      <c r="F51" s="180"/>
      <c r="G51" s="3106"/>
      <c r="H51" s="138"/>
      <c r="I51" s="2470"/>
      <c r="J51" s="2471" t="s">
        <v>2196</v>
      </c>
      <c r="K51" s="3075" t="s">
        <v>2197</v>
      </c>
      <c r="L51" s="3075"/>
      <c r="M51" s="2471" t="s">
        <v>2198</v>
      </c>
      <c r="N51" s="2471" t="s">
        <v>2199</v>
      </c>
      <c r="O51" s="2471" t="s">
        <v>2200</v>
      </c>
    </row>
    <row r="52" spans="1:35" ht="24" customHeight="1">
      <c r="A52" s="183" t="s">
        <v>2201</v>
      </c>
      <c r="B52" s="3123" t="s">
        <v>2202</v>
      </c>
      <c r="C52" s="3123"/>
      <c r="D52" s="182">
        <f ca="1">ROUND(D45*'数据-取费表'!B41/(1+'数据-取费表'!C42),0)</f>
        <v>289</v>
      </c>
      <c r="E52" s="11" t="s">
        <v>2203</v>
      </c>
      <c r="F52" s="184">
        <f>'数据-取费表'!B41</f>
        <v>5.6000000000000001E-2</v>
      </c>
      <c r="G52" s="2472"/>
      <c r="H52" s="138"/>
      <c r="I52" s="2470"/>
      <c r="J52" s="1809">
        <v>1</v>
      </c>
      <c r="K52" s="3098" t="s">
        <v>2204</v>
      </c>
      <c r="L52" s="3098"/>
      <c r="M52" s="1751">
        <f>D48</f>
        <v>0</v>
      </c>
      <c r="N52" s="1809" t="str">
        <f>E48</f>
        <v>销售额×税（费）率</v>
      </c>
      <c r="O52" s="1752" t="str">
        <f>F48</f>
        <v>免征</v>
      </c>
    </row>
    <row r="53" spans="1:35" ht="12" customHeight="1">
      <c r="A53" s="183" t="s">
        <v>2205</v>
      </c>
      <c r="B53" s="3124" t="s">
        <v>2206</v>
      </c>
      <c r="C53" s="3125"/>
      <c r="D53" s="182">
        <f ca="1">ROUND(D45*'数据-取费表'!B41/(1+'数据-取费表'!C42),0)</f>
        <v>289</v>
      </c>
      <c r="E53" s="11" t="s">
        <v>2203</v>
      </c>
      <c r="F53" s="184">
        <f>'数据-取费表'!B41</f>
        <v>5.6000000000000001E-2</v>
      </c>
      <c r="G53" s="2472"/>
      <c r="H53" s="138"/>
      <c r="I53" s="2470"/>
      <c r="J53" s="1809">
        <v>2</v>
      </c>
      <c r="K53" s="3098" t="s">
        <v>2207</v>
      </c>
      <c r="L53" s="3098"/>
      <c r="M53" s="1751">
        <f t="shared" ref="M53:O54" ca="1" si="0">D55</f>
        <v>3</v>
      </c>
      <c r="N53" s="1809" t="str">
        <f t="shared" si="0"/>
        <v>销售额×税（费）率</v>
      </c>
      <c r="O53" s="1752">
        <f t="shared" si="0"/>
        <v>5.0000000000000001E-4</v>
      </c>
    </row>
    <row r="54" spans="1:35" ht="12" customHeight="1">
      <c r="A54" s="183" t="s">
        <v>2208</v>
      </c>
      <c r="B54" s="3124" t="s">
        <v>2209</v>
      </c>
      <c r="C54" s="3125"/>
      <c r="D54" s="182">
        <f ca="1">C68</f>
        <v>289</v>
      </c>
      <c r="E54" s="30" t="s">
        <v>2210</v>
      </c>
      <c r="F54" s="184">
        <f>'数据-取费表'!B41</f>
        <v>5.6000000000000001E-2</v>
      </c>
      <c r="G54" s="2472"/>
      <c r="H54" s="2473"/>
      <c r="I54" s="2470"/>
      <c r="J54" s="1809">
        <v>3</v>
      </c>
      <c r="K54" s="3098" t="s">
        <v>2211</v>
      </c>
      <c r="L54" s="3098"/>
      <c r="M54" s="1751">
        <f t="shared" ca="1" si="0"/>
        <v>3062</v>
      </c>
      <c r="N54" s="1809" t="str">
        <f t="shared" si="0"/>
        <v>增值额×税（费）率</v>
      </c>
      <c r="O54" s="1753" t="str">
        <f t="shared" si="0"/>
        <v>——</v>
      </c>
    </row>
    <row r="55" spans="1:35" ht="24" customHeight="1">
      <c r="A55" s="3162" t="s">
        <v>2212</v>
      </c>
      <c r="B55" s="3144"/>
      <c r="C55" s="3144"/>
      <c r="D55" s="185">
        <f ca="1">IF(H55="个人住宅",0,ROUND(D45*I55,0))</f>
        <v>3</v>
      </c>
      <c r="E55" s="11" t="s">
        <v>2213</v>
      </c>
      <c r="F55" s="184">
        <f>IF(H55="正常",I55,"免征")</f>
        <v>5.0000000000000001E-4</v>
      </c>
      <c r="G55" s="2472"/>
      <c r="H55" s="2469" t="s">
        <v>2214</v>
      </c>
      <c r="I55" s="186">
        <f>'数据-取费表'!B49</f>
        <v>5.0000000000000001E-4</v>
      </c>
      <c r="J55" s="1809" t="str">
        <f>IF(H59="非个人房产","",4)</f>
        <v/>
      </c>
      <c r="K55" s="3098" t="str">
        <f>IF(H59="非个人房产","——","个人所得税")</f>
        <v>——</v>
      </c>
      <c r="L55" s="3098"/>
      <c r="M55" s="1754" t="str">
        <f>D59</f>
        <v>——</v>
      </c>
      <c r="N55" s="1807" t="str">
        <f>E59</f>
        <v>——</v>
      </c>
      <c r="O55" s="1755" t="str">
        <f>F59</f>
        <v>——</v>
      </c>
    </row>
    <row r="56" spans="1:35" ht="24.75">
      <c r="A56" s="3162" t="s">
        <v>2215</v>
      </c>
      <c r="B56" s="3144"/>
      <c r="C56" s="3144"/>
      <c r="D56" s="185">
        <f ca="1">IF(H56="个人住宅",D57,D58)</f>
        <v>3062</v>
      </c>
      <c r="E56" s="11" t="s">
        <v>2216</v>
      </c>
      <c r="F56" s="184" t="str">
        <f>IF(H56="正常",F58,"免征")</f>
        <v>——</v>
      </c>
      <c r="G56" s="2474" t="s">
        <v>2217</v>
      </c>
      <c r="H56" s="2475" t="s">
        <v>2214</v>
      </c>
      <c r="I56" s="2476"/>
      <c r="J56" s="1809" t="str">
        <f>IF(项目基本情况!K6="上海银行",IF(J55="",4,J55+1),"")</f>
        <v/>
      </c>
      <c r="K56" s="3081" t="str">
        <f>IF(项目基本情况!K6="上海银行","其他处置费用","")</f>
        <v/>
      </c>
      <c r="L56" s="3082"/>
      <c r="M56" s="1751" t="str">
        <f>IF(项目基本情况!K6="上海银行",M69,"")</f>
        <v/>
      </c>
      <c r="N56" s="3084" t="str">
        <f>IF(项目基本情况!K6="上海银行","包含处置中涉及的律师、诉讼、拍卖、评估等费用","")</f>
        <v/>
      </c>
      <c r="O56" s="3085"/>
    </row>
    <row r="57" spans="1:35" ht="12.75">
      <c r="A57" s="183" t="s">
        <v>2190</v>
      </c>
      <c r="B57" s="3129" t="s">
        <v>2218</v>
      </c>
      <c r="C57" s="3130"/>
      <c r="D57" s="187">
        <v>0</v>
      </c>
      <c r="E57" s="23" t="s">
        <v>2192</v>
      </c>
      <c r="F57" s="155"/>
      <c r="G57" s="2472"/>
      <c r="H57" s="2476"/>
      <c r="I57" s="2476"/>
      <c r="J57" s="3098">
        <f>IF(AND(J55="",J56=""),4,IF(项目基本情况!K6="上海银行",结果表!J56+1,结果表!J55+1))</f>
        <v>4</v>
      </c>
      <c r="K57" s="3098" t="s">
        <v>2219</v>
      </c>
      <c r="L57" s="2477" t="s">
        <v>2220</v>
      </c>
      <c r="M57" s="1756"/>
      <c r="N57" s="1757">
        <f ca="1">SUMIF(M52:M56,"&lt;9e307")</f>
        <v>3065</v>
      </c>
      <c r="O57" s="2478"/>
      <c r="P57" s="1750">
        <f ca="1">N57/M49</f>
        <v>0.56643873590833482</v>
      </c>
    </row>
    <row r="58" spans="1:35" ht="24.75">
      <c r="A58" s="183" t="s">
        <v>2201</v>
      </c>
      <c r="B58" s="3129" t="s">
        <v>2221</v>
      </c>
      <c r="C58" s="3142"/>
      <c r="D58" s="185">
        <f ca="1">IF(H58="转让取得",C81,C97)</f>
        <v>3062</v>
      </c>
      <c r="E58" s="11" t="s">
        <v>2216</v>
      </c>
      <c r="F58" s="24" t="s">
        <v>34</v>
      </c>
      <c r="G58" s="2472"/>
      <c r="H58" s="2475" t="s">
        <v>2222</v>
      </c>
      <c r="I58" s="2476"/>
      <c r="J58" s="3098"/>
      <c r="K58" s="3098"/>
      <c r="L58" s="2477" t="s">
        <v>2223</v>
      </c>
      <c r="M58" s="1758"/>
      <c r="N58" s="2479" t="str">
        <f ca="1">NUMBERSTRING(INT(N57*10000),2)&amp;"元整"</f>
        <v>叁仟零陆拾伍万元整</v>
      </c>
      <c r="O58" s="2480"/>
    </row>
    <row r="59" spans="1:35" ht="24.75" thickBot="1">
      <c r="A59" s="3102" t="s">
        <v>2224</v>
      </c>
      <c r="B59" s="3103"/>
      <c r="C59" s="3103"/>
      <c r="D59" s="188" t="str">
        <f>IF(H59="非个人房产","——",IF(H59="个人住宅",0,ROUND(D45*I59,0)))</f>
        <v>——</v>
      </c>
      <c r="E59" s="189" t="str">
        <f>IF(H59="非个人房产","——","销售额×税（费）率")</f>
        <v>——</v>
      </c>
      <c r="F59" s="190" t="str">
        <f>IF(H59="非个人房产","——",IF(H59="个人住宅","免征",I59))</f>
        <v>——</v>
      </c>
      <c r="G59" s="2481" t="s">
        <v>2217</v>
      </c>
      <c r="H59" s="2475" t="s">
        <v>2225</v>
      </c>
      <c r="I59" s="191">
        <v>0.01</v>
      </c>
      <c r="J59" s="3100">
        <f>J57+1</f>
        <v>5</v>
      </c>
      <c r="K59" s="3098" t="s">
        <v>2226</v>
      </c>
      <c r="L59" s="1809" t="s">
        <v>2220</v>
      </c>
      <c r="M59" s="1759"/>
      <c r="N59" s="1760">
        <f ca="1">M49-N57</f>
        <v>2346</v>
      </c>
      <c r="O59" s="2482"/>
    </row>
    <row r="60" spans="1:35" ht="12" customHeight="1">
      <c r="A60" s="2483"/>
      <c r="B60" s="2405"/>
      <c r="C60" s="2405"/>
      <c r="D60" s="2405"/>
      <c r="E60" s="2153"/>
      <c r="F60" s="2476"/>
      <c r="G60" s="2476"/>
      <c r="H60" s="2484"/>
      <c r="I60" s="138"/>
      <c r="J60" s="3101"/>
      <c r="K60" s="3098"/>
      <c r="L60" s="2477" t="s">
        <v>2223</v>
      </c>
      <c r="M60" s="1758"/>
      <c r="N60" s="2479" t="str">
        <f ca="1">NUMBERSTRING(INT(N59*10000),2)&amp;"元整"</f>
        <v>贰仟叁佰肆拾陆万元整</v>
      </c>
      <c r="O60" s="2480"/>
    </row>
    <row r="61" spans="1:35" ht="13.5" thickBot="1">
      <c r="A61" s="3161" t="s">
        <v>2227</v>
      </c>
      <c r="B61" s="3161"/>
      <c r="C61" s="3161"/>
      <c r="D61" s="3161"/>
      <c r="E61" s="3161"/>
      <c r="F61" s="2476"/>
      <c r="G61" s="2476"/>
      <c r="H61" s="2484"/>
      <c r="I61" s="138"/>
      <c r="J61" s="1809">
        <f>J59+1</f>
        <v>6</v>
      </c>
      <c r="K61" s="3098" t="s">
        <v>2228</v>
      </c>
      <c r="L61" s="3098"/>
      <c r="M61" s="1761"/>
      <c r="N61" s="1762">
        <f ca="1">ROUND(N59*10000/'数据-汇总表'!E3,0)</f>
        <v>12940</v>
      </c>
      <c r="O61" s="2485"/>
    </row>
    <row r="62" spans="1:35" ht="12.75">
      <c r="A62" s="3118" t="s">
        <v>2229</v>
      </c>
      <c r="B62" s="3119"/>
      <c r="C62" s="1801"/>
      <c r="D62" s="1801" t="s">
        <v>2230</v>
      </c>
      <c r="E62" s="192" t="s">
        <v>2231</v>
      </c>
      <c r="F62" s="2476"/>
      <c r="G62" s="2476"/>
      <c r="H62" s="2484"/>
      <c r="I62" s="138"/>
    </row>
    <row r="63" spans="1:35" ht="12.75">
      <c r="A63" s="203" t="s">
        <v>775</v>
      </c>
      <c r="B63" s="193" t="s">
        <v>2232</v>
      </c>
      <c r="C63" s="194">
        <f ca="1">ROUND((C64+C65)/(1+'数据-取费表'!C42),0)</f>
        <v>5153</v>
      </c>
      <c r="D63" s="195"/>
      <c r="E63" s="196"/>
      <c r="F63" s="2476"/>
      <c r="G63" s="2476"/>
      <c r="H63" s="2484"/>
      <c r="I63" s="138"/>
      <c r="J63" s="3083" t="s">
        <v>2233</v>
      </c>
      <c r="K63" s="2486" t="s">
        <v>2234</v>
      </c>
      <c r="L63" s="1749">
        <f ca="1">IF(M49&gt;10000,M49*0.5%,IF(AND(M49&gt;1000,M49&lt;=10000),M49*1%,IF(AND(M49&gt;100,M49&lt;=1000),M49*3%,IF(AND(M49&gt;10,M49&lt;=100),M49*5%,M49*8%))))</f>
        <v>54.11</v>
      </c>
      <c r="M63" s="24">
        <f ca="1">ROUND(L63,1)</f>
        <v>54.1</v>
      </c>
      <c r="Z63" s="2410"/>
      <c r="AI63" s="2411"/>
    </row>
    <row r="64" spans="1:35" ht="14.25" customHeight="1">
      <c r="A64" s="197" t="s">
        <v>770</v>
      </c>
      <c r="B64" s="198" t="s">
        <v>2235</v>
      </c>
      <c r="C64" s="199">
        <f ca="1">D45</f>
        <v>5411</v>
      </c>
      <c r="D64" s="200" t="s">
        <v>32</v>
      </c>
      <c r="E64" s="201"/>
      <c r="F64" s="2476"/>
      <c r="G64" s="2476"/>
      <c r="H64" s="2484"/>
      <c r="I64" s="138"/>
      <c r="J64" s="3083"/>
      <c r="K64" s="2486" t="s">
        <v>2236</v>
      </c>
      <c r="L64" s="1749">
        <f ca="1">IF(M49&gt;2000,M49*0.5%,IF(AND(M49&gt;1000,M49&lt;=2000),M49*0.6%,IF(AND(M49&gt;500,M49&lt;=1000),M49*0.7%,IF(AND(M49&gt;200,M49&lt;=500),M49*0.8%,IF(AND(M49&gt;100,M49&lt;=200),M49*0.9%,IF(AND(M49&gt;50,M49&lt;=100),M49*1%,IF(AND(M49&gt;20,M49&lt;=50),M49*1.5%,IF(AND(M49&gt;10,M49&lt;=20),M49*2%,IF(AND(M49&gt;1,M49&lt;=10),M49*2.5%)))))))))</f>
        <v>27.055</v>
      </c>
      <c r="M64" s="24">
        <f t="shared" ref="M64:M65" ca="1" si="1">ROUND(L64,1)</f>
        <v>27.1</v>
      </c>
      <c r="N64" s="138" t="s">
        <v>2237</v>
      </c>
      <c r="Z64" s="2410"/>
      <c r="AI64" s="2411"/>
    </row>
    <row r="65" spans="1:35" ht="14.25" customHeight="1">
      <c r="A65" s="197" t="s">
        <v>771</v>
      </c>
      <c r="B65" s="198" t="s">
        <v>2238</v>
      </c>
      <c r="C65" s="202"/>
      <c r="D65" s="200"/>
      <c r="E65" s="201"/>
      <c r="F65" s="2476"/>
      <c r="G65" s="2476"/>
      <c r="H65" s="2484"/>
      <c r="I65" s="138"/>
      <c r="J65" s="3083"/>
      <c r="K65" s="2486" t="s">
        <v>2239</v>
      </c>
      <c r="L65" s="1749">
        <f ca="1">IF(M49&gt;1000,M49*0.1%,IF(AND(M49&gt;500,M49&lt;=1000),M49*0.5%,IF(AND(M49&gt;50,M49&lt;=500),M49*1%,IF(AND(M49&gt;1,M49&lt;=50),M49*1.5%))))</f>
        <v>5.4110000000000005</v>
      </c>
      <c r="M65" s="24">
        <f t="shared" ca="1" si="1"/>
        <v>5.4</v>
      </c>
      <c r="N65" s="138" t="s">
        <v>2237</v>
      </c>
      <c r="Z65" s="2410"/>
      <c r="AI65" s="2411"/>
    </row>
    <row r="66" spans="1:35" ht="14.25" customHeight="1">
      <c r="A66" s="203" t="s">
        <v>772</v>
      </c>
      <c r="B66" s="204" t="s">
        <v>2240</v>
      </c>
      <c r="C66" s="205"/>
      <c r="D66" s="206" t="s">
        <v>32</v>
      </c>
      <c r="E66" s="1773" t="s">
        <v>1371</v>
      </c>
      <c r="F66" s="2476"/>
      <c r="G66" s="2476"/>
      <c r="H66" s="2484"/>
      <c r="I66" s="138"/>
      <c r="J66" s="3083"/>
      <c r="K66" s="2486" t="s">
        <v>2241</v>
      </c>
      <c r="L66" s="1749">
        <f ca="1">M49*0.5%</f>
        <v>27.055</v>
      </c>
      <c r="M66" s="24">
        <f ca="1">IF(L66&gt;0.5,0.5,ROUND(L66,0))</f>
        <v>0.5</v>
      </c>
      <c r="N66" s="138" t="s">
        <v>2242</v>
      </c>
      <c r="Z66" s="2410"/>
      <c r="AI66" s="2411"/>
    </row>
    <row r="67" spans="1:35" ht="14.25" customHeight="1">
      <c r="A67" s="203" t="s">
        <v>773</v>
      </c>
      <c r="B67" s="204" t="s">
        <v>2243</v>
      </c>
      <c r="C67" s="207">
        <f ca="1">C63-C66</f>
        <v>5153</v>
      </c>
      <c r="D67" s="200" t="s">
        <v>32</v>
      </c>
      <c r="E67" s="201"/>
      <c r="F67" s="2476"/>
      <c r="G67" s="2476"/>
      <c r="H67" s="2484"/>
      <c r="I67" s="138"/>
      <c r="J67" s="3083"/>
      <c r="K67" s="2486" t="s">
        <v>2244</v>
      </c>
      <c r="L67" s="1749">
        <f ca="1">IF(M49&gt;=10000,(8.25+(M49-10000)*0.01%),IF(AND(M49&gt;=8000,M49&lt;10000),(7.85+(M49-8000)*0.02%),IF(AND(M49&gt;=5000,M49&lt;8000),(6.65+(M49-5000)*0.04%),IF(AND(M49&gt;=2000,M49&lt;5000),(4.25+(PM49-2000)*0.08%),IF(AND(M49&gt;=1000,M49&lt;2000),(2.75+(M49-1000)*0.15%),IF(AND(M49&gt;=100,M49&lt;1000),(0.5+(M49-100)*0.25%),IF(AND(M49&gt;0,M49&lt;100),M49*0.5%)))))))</f>
        <v>6.8144</v>
      </c>
      <c r="M67" s="24">
        <f ca="1">ROUND(L67*0.9,1)</f>
        <v>6.1</v>
      </c>
      <c r="Z67" s="2410"/>
      <c r="AI67" s="2411"/>
    </row>
    <row r="68" spans="1:35" ht="14.25" customHeight="1" thickBot="1">
      <c r="A68" s="208" t="s">
        <v>774</v>
      </c>
      <c r="B68" s="209" t="s">
        <v>2245</v>
      </c>
      <c r="C68" s="210">
        <f ca="1">IF(C67&lt;=0,0,ROUND(C67*D68,0))</f>
        <v>289</v>
      </c>
      <c r="D68" s="211">
        <f>'数据-取费表'!B41</f>
        <v>5.6000000000000001E-2</v>
      </c>
      <c r="E68" s="212"/>
      <c r="F68" s="2476"/>
      <c r="G68" s="2476"/>
      <c r="H68" s="2484"/>
      <c r="I68" s="138"/>
      <c r="J68" s="3083"/>
      <c r="K68" s="2486" t="s">
        <v>2246</v>
      </c>
      <c r="L68" s="1749">
        <f ca="1">IF(M49&gt;10000,M49*0.5%,IF(AND(M49&gt;5000,M49&lt;=10000),M49*1%,IF(AND(M49&gt;1000,M49&lt;=5000),M49*2%,IF(AND(M49&gt;200,M49&lt;=1000),M49*3%,M49*5%))))</f>
        <v>54.11</v>
      </c>
      <c r="M68" s="24">
        <f ca="1">ROUND(L68,1)</f>
        <v>54.1</v>
      </c>
      <c r="Z68" s="2410"/>
      <c r="AI68" s="2411"/>
    </row>
    <row r="69" spans="1:35" s="2433" customFormat="1" ht="16.5" customHeight="1">
      <c r="A69" s="2487"/>
      <c r="B69" s="2488"/>
      <c r="C69" s="2489"/>
      <c r="D69" s="2490"/>
      <c r="E69" s="2491"/>
      <c r="F69" s="2153"/>
      <c r="G69" s="2153"/>
      <c r="H69" s="2152"/>
      <c r="I69" s="2405"/>
      <c r="J69" s="3083"/>
      <c r="K69" s="2486" t="s">
        <v>2247</v>
      </c>
      <c r="L69" s="2492"/>
      <c r="M69" s="24">
        <f ca="1">ROUND(SUM(M63:M68),0)</f>
        <v>147</v>
      </c>
      <c r="N69" s="1750">
        <f ca="1">M69/M49</f>
        <v>2.7166882276843468E-2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127" t="s">
        <v>2248</v>
      </c>
      <c r="B70" s="3128"/>
      <c r="C70" s="3128"/>
      <c r="D70" s="3128"/>
      <c r="E70" s="3128"/>
      <c r="F70" s="3128"/>
      <c r="G70" s="3128"/>
      <c r="H70" s="3128"/>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118" t="s">
        <v>2229</v>
      </c>
      <c r="B71" s="3119"/>
      <c r="C71" s="1801"/>
      <c r="D71" s="1801" t="s">
        <v>2230</v>
      </c>
      <c r="E71" s="213" t="s">
        <v>2231</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2249</v>
      </c>
      <c r="C72" s="207">
        <f ca="1">ROUND(D45/(1+'数据-取费表'!C42),0)</f>
        <v>5153</v>
      </c>
      <c r="D72" s="200" t="s">
        <v>32</v>
      </c>
      <c r="E72" s="1800"/>
      <c r="F72" s="1794"/>
      <c r="G72" s="1794"/>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2250</v>
      </c>
      <c r="C73" s="207">
        <f ca="1">C74+C78</f>
        <v>31</v>
      </c>
      <c r="D73" s="200" t="s">
        <v>32</v>
      </c>
      <c r="E73" s="1800"/>
      <c r="F73" s="1794"/>
      <c r="G73" s="1794"/>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2251</v>
      </c>
      <c r="C74" s="200">
        <f>ROUND(IF(G77="2016年5月1日后购买",C75/(1+'数据-取费表'!C42)+C76+C77,C75+C76+C77),0)</f>
        <v>0</v>
      </c>
      <c r="D74" s="200" t="s">
        <v>32</v>
      </c>
      <c r="E74" s="1800"/>
      <c r="F74" s="1794"/>
      <c r="G74" s="1794"/>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2252</v>
      </c>
      <c r="C75" s="218"/>
      <c r="D75" s="200" t="s">
        <v>32</v>
      </c>
      <c r="E75" s="219" t="s">
        <v>2253</v>
      </c>
      <c r="F75" s="2498" t="s">
        <v>2254</v>
      </c>
      <c r="G75" s="219" t="s">
        <v>2255</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2256</v>
      </c>
      <c r="C76" s="200">
        <f>IF(F75="购房发票",ROUND(C75*H75*D76,0),0)</f>
        <v>0</v>
      </c>
      <c r="D76" s="222">
        <v>0.05</v>
      </c>
      <c r="E76" s="3124" t="s">
        <v>2257</v>
      </c>
      <c r="F76" s="3123"/>
      <c r="G76" s="3123"/>
      <c r="H76" s="3126"/>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0" t="s">
        <v>2260</v>
      </c>
      <c r="H77" s="1805"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2261</v>
      </c>
      <c r="C78" s="225">
        <f ca="1">ROUND(D45*D78/(1+'数据-取费表'!C42),0)</f>
        <v>31</v>
      </c>
      <c r="D78" s="226">
        <f>'数据-取费表'!B43</f>
        <v>6.000000000000001E-3</v>
      </c>
      <c r="E78" s="3115" t="s">
        <v>2262</v>
      </c>
      <c r="F78" s="3116"/>
      <c r="G78" s="3116"/>
      <c r="H78" s="3117"/>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2263</v>
      </c>
      <c r="C79" s="207">
        <f ca="1">C72-C73</f>
        <v>5122</v>
      </c>
      <c r="D79" s="200" t="s">
        <v>32</v>
      </c>
      <c r="E79" s="1800"/>
      <c r="F79" s="1794"/>
      <c r="G79" s="1794"/>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2264</v>
      </c>
      <c r="C80" s="227">
        <f ca="1">IF(C79&lt;=0,0,C79/C73)</f>
        <v>165.2258064516129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2265</v>
      </c>
      <c r="C81" s="228">
        <f ca="1">ROUND(IF(C79&lt;=0,0,IF(C80&gt;=200%,C79*60%-C73*35%,IF(C80&gt;=100%,C79*50%-C73*15%,IF(C80&gt;=50%,C79*40%-C73*5%,IF(C80&lt;50%,C79*30%,0))))),0)</f>
        <v>3062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127" t="s">
        <v>2266</v>
      </c>
      <c r="B83" s="3128"/>
      <c r="C83" s="3128"/>
      <c r="D83" s="3128"/>
      <c r="E83" s="3128"/>
      <c r="F83" s="3128"/>
      <c r="G83" s="3128"/>
      <c r="H83" s="3128"/>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118" t="s">
        <v>2229</v>
      </c>
      <c r="B84" s="3119"/>
      <c r="C84" s="1801"/>
      <c r="D84" s="1801" t="s">
        <v>2230</v>
      </c>
      <c r="E84" s="213" t="s">
        <v>2231</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2249</v>
      </c>
      <c r="C85" s="207">
        <f ca="1">ROUND(D45/(1+'数据-取费表'!C42),0)</f>
        <v>5153</v>
      </c>
      <c r="D85" s="200" t="s">
        <v>32</v>
      </c>
      <c r="E85" s="1800"/>
      <c r="F85" s="1794"/>
      <c r="G85" s="1794"/>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2250</v>
      </c>
      <c r="C86" s="207">
        <f ca="1">IF(H88="仅含出让金",C87+C90+C91+C92+C93+C94,C87+C91+C92+C93+C94)</f>
        <v>31</v>
      </c>
      <c r="D86" s="235"/>
      <c r="E86" s="1800"/>
      <c r="F86" s="1794"/>
      <c r="G86" s="1794"/>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2267</v>
      </c>
      <c r="C87" s="225">
        <f>C88+C89</f>
        <v>0</v>
      </c>
      <c r="D87" s="226"/>
      <c r="E87" s="1796"/>
      <c r="F87" s="1797"/>
      <c r="G87" s="1797"/>
      <c r="H87" s="1799"/>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2268</v>
      </c>
      <c r="C88" s="236"/>
      <c r="D88" s="226"/>
      <c r="E88" s="237" t="s">
        <v>2269</v>
      </c>
      <c r="F88" s="1797"/>
      <c r="G88" s="238"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2258</v>
      </c>
      <c r="C89" s="225">
        <f>ROUND(C88*D89,0)</f>
        <v>0</v>
      </c>
      <c r="D89" s="226">
        <f>'数据-取费表'!B48+'数据-取费表'!B49</f>
        <v>3.0499999999999999E-2</v>
      </c>
      <c r="E89" s="237" t="s">
        <v>2271</v>
      </c>
      <c r="F89" s="1797"/>
      <c r="G89" s="1797"/>
      <c r="H89" s="1799"/>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2272</v>
      </c>
      <c r="C90" s="236"/>
      <c r="D90" s="226"/>
      <c r="E90" s="237" t="str">
        <f>IF(H88="-","土地取得成本中已包含该笔费用"," ")</f>
        <v xml:space="preserve"> </v>
      </c>
      <c r="F90" s="1797"/>
      <c r="G90" s="1797"/>
      <c r="H90" s="1799"/>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2273</v>
      </c>
      <c r="B91" s="198" t="s">
        <v>2274</v>
      </c>
      <c r="C91" s="225">
        <f>IF(H91="——",成本法!C33,I91)</f>
        <v>0</v>
      </c>
      <c r="D91" s="226"/>
      <c r="E91" s="3115" t="s">
        <v>2275</v>
      </c>
      <c r="F91" s="3116"/>
      <c r="G91" s="3116"/>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2277</v>
      </c>
      <c r="B92" s="198" t="s">
        <v>2278</v>
      </c>
      <c r="C92" s="225">
        <f>ROUND((C87+C90+C91)*D92,0)</f>
        <v>0</v>
      </c>
      <c r="D92" s="226">
        <v>0.1</v>
      </c>
      <c r="E92" s="3115" t="s">
        <v>2279</v>
      </c>
      <c r="F92" s="3116"/>
      <c r="G92" s="3116"/>
      <c r="H92" s="3117"/>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2280</v>
      </c>
      <c r="B93" s="198" t="s">
        <v>2261</v>
      </c>
      <c r="C93" s="225">
        <f ca="1">ROUND(D45*D93/(1+'数据-取费表'!C42),0)</f>
        <v>31</v>
      </c>
      <c r="D93" s="226">
        <f>'数据-取费表'!B43</f>
        <v>6.000000000000001E-3</v>
      </c>
      <c r="E93" s="3115" t="s">
        <v>2262</v>
      </c>
      <c r="F93" s="3116"/>
      <c r="G93" s="3116"/>
      <c r="H93" s="3117"/>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2281</v>
      </c>
      <c r="B94" s="198" t="s">
        <v>2282</v>
      </c>
      <c r="C94" s="236">
        <f>ROUND((C87+C90+C91)*D94,0)</f>
        <v>0</v>
      </c>
      <c r="D94" s="226">
        <v>0.2</v>
      </c>
      <c r="E94" s="3163" t="s">
        <v>2283</v>
      </c>
      <c r="F94" s="3164"/>
      <c r="G94" s="3164"/>
      <c r="H94" s="3165"/>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2263</v>
      </c>
      <c r="C95" s="207">
        <f ca="1">ROUND(C85-C86,0)</f>
        <v>5122</v>
      </c>
      <c r="D95" s="200" t="s">
        <v>32</v>
      </c>
      <c r="E95" s="1800"/>
      <c r="F95" s="1794"/>
      <c r="G95" s="1794"/>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2264</v>
      </c>
      <c r="C96" s="227">
        <f ca="1">IF(C95&lt;=0,0,C95/C86)</f>
        <v>165.2258064516129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2265</v>
      </c>
      <c r="C97" s="228">
        <f ca="1">ROUND(IF(C95&lt;=0,0,IF(C96&gt;=200%,C95*60%-C86*35%,IF(C96&gt;=100%,C95*50%-C86*15%,IF(C96&gt;=50%,C95*40%-C86*5%,IF(C96&lt;50%,C95*30%,0))))),0)</f>
        <v>3062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3"/>
      <c r="F98" s="2153"/>
      <c r="G98" s="2153"/>
      <c r="H98" s="2152"/>
      <c r="I98" s="138"/>
    </row>
    <row r="99" spans="1:35" ht="21.75" customHeight="1" thickBot="1">
      <c r="A99" s="2461" t="s">
        <v>2284</v>
      </c>
      <c r="B99" s="2405"/>
      <c r="C99" s="2405"/>
      <c r="D99" s="2405"/>
      <c r="E99" s="2153"/>
      <c r="F99" s="2153"/>
      <c r="G99" s="2153"/>
      <c r="H99" s="2152"/>
      <c r="I99" s="138"/>
    </row>
    <row r="100" spans="1:35" ht="18.75" customHeight="1">
      <c r="A100" s="3067" t="s">
        <v>2285</v>
      </c>
      <c r="B100" s="3068"/>
      <c r="C100" s="3068"/>
      <c r="D100" s="3099"/>
      <c r="E100" s="3068" t="s">
        <v>2286</v>
      </c>
      <c r="F100" s="3068"/>
      <c r="G100" s="3068"/>
      <c r="H100" s="3099"/>
      <c r="I100" s="138"/>
    </row>
    <row r="101" spans="1:35" ht="18.75" customHeight="1">
      <c r="A101" s="3107" t="s">
        <v>2287</v>
      </c>
      <c r="B101" s="3108"/>
      <c r="C101" s="736" t="str">
        <f>C4</f>
        <v>比较法-办公</v>
      </c>
      <c r="D101" s="737" t="str">
        <f>D4</f>
        <v>收益法 (元)</v>
      </c>
      <c r="E101" s="3079" t="s">
        <v>2288</v>
      </c>
      <c r="F101" s="3080"/>
      <c r="G101" s="2507" t="s">
        <v>2289</v>
      </c>
      <c r="H101" s="1048">
        <f ca="1">H118</f>
        <v>5411</v>
      </c>
      <c r="I101" s="138"/>
    </row>
    <row r="102" spans="1:35" ht="18.75" customHeight="1">
      <c r="A102" s="3109" t="s">
        <v>2290</v>
      </c>
      <c r="B102" s="2507" t="s">
        <v>2289</v>
      </c>
      <c r="C102" s="736">
        <f ca="1">C19</f>
        <v>6335</v>
      </c>
      <c r="D102" s="737">
        <f ca="1">D19</f>
        <v>3696</v>
      </c>
      <c r="E102" s="3079"/>
      <c r="F102" s="3080"/>
      <c r="G102" s="2507" t="s">
        <v>2291</v>
      </c>
      <c r="H102" s="371">
        <f ca="1">I118</f>
        <v>29846</v>
      </c>
      <c r="I102" s="138"/>
    </row>
    <row r="103" spans="1:35" ht="42.75" customHeight="1">
      <c r="A103" s="3109"/>
      <c r="B103" s="2507" t="s">
        <v>2291</v>
      </c>
      <c r="C103" s="738">
        <f ca="1">C20</f>
        <v>34943</v>
      </c>
      <c r="D103" s="739">
        <f ca="1">D20</f>
        <v>20387</v>
      </c>
      <c r="E103" s="3073" t="s">
        <v>2292</v>
      </c>
      <c r="F103" s="3074"/>
      <c r="G103" s="2508" t="s">
        <v>2293</v>
      </c>
      <c r="H103" s="1048">
        <f>IF(D36="正常操作",H104+H105+H106,H105+H106)</f>
        <v>0</v>
      </c>
      <c r="I103" s="138"/>
    </row>
    <row r="104" spans="1:35" ht="18.75" customHeight="1">
      <c r="A104" s="3109" t="s">
        <v>2294</v>
      </c>
      <c r="B104" s="2509" t="s">
        <v>2289</v>
      </c>
      <c r="C104" s="740">
        <f ca="1">H118</f>
        <v>5411</v>
      </c>
      <c r="D104" s="741"/>
      <c r="E104" s="2254" t="s">
        <v>2295</v>
      </c>
      <c r="F104" s="2245"/>
      <c r="G104" s="2508" t="s">
        <v>2293</v>
      </c>
      <c r="H104" s="1049">
        <f>IF(D36="同一抵押权人同一抵押物续贷",C36&amp;"（未扣减，详见特别提示）",C36)</f>
        <v>0</v>
      </c>
      <c r="I104" s="138"/>
    </row>
    <row r="105" spans="1:35" ht="18.75" customHeight="1" thickBot="1">
      <c r="A105" s="3121"/>
      <c r="B105" s="2510" t="s">
        <v>2291</v>
      </c>
      <c r="C105" s="742">
        <f ca="1">I118</f>
        <v>29846</v>
      </c>
      <c r="D105" s="743"/>
      <c r="E105" s="2254" t="s">
        <v>2296</v>
      </c>
      <c r="F105" s="2245"/>
      <c r="G105" s="2508" t="s">
        <v>2293</v>
      </c>
      <c r="H105" s="1049">
        <f>C37</f>
        <v>0</v>
      </c>
      <c r="I105" s="138"/>
    </row>
    <row r="106" spans="1:35" ht="18.75" customHeight="1">
      <c r="A106" s="2405" t="s">
        <v>2297</v>
      </c>
      <c r="B106" s="2405"/>
      <c r="C106" s="2405"/>
      <c r="D106" s="2405"/>
      <c r="E106" s="2511" t="s">
        <v>2298</v>
      </c>
      <c r="F106" s="2245"/>
      <c r="G106" s="2508" t="s">
        <v>2293</v>
      </c>
      <c r="H106" s="1049">
        <f>C38</f>
        <v>0</v>
      </c>
      <c r="I106" s="138"/>
    </row>
    <row r="107" spans="1:35" ht="18.75" customHeight="1">
      <c r="A107" s="138"/>
      <c r="B107" s="138"/>
      <c r="C107" s="138"/>
      <c r="D107" s="138"/>
      <c r="E107" s="3110" t="str">
        <f>IF(项目基本情况!E8="已注销","——","3.房地产抵押价值")</f>
        <v>3.房地产抵押价值</v>
      </c>
      <c r="F107" s="3080"/>
      <c r="G107" s="2507" t="s">
        <v>2289</v>
      </c>
      <c r="H107" s="1048">
        <f ca="1">IF(E107="——","——",H101-H103)</f>
        <v>5411</v>
      </c>
      <c r="I107" s="138"/>
    </row>
    <row r="108" spans="1:35" ht="18.75" customHeight="1">
      <c r="A108" s="138"/>
      <c r="B108" s="138"/>
      <c r="C108" s="138"/>
      <c r="D108" s="138"/>
      <c r="E108" s="3110"/>
      <c r="F108" s="3080"/>
      <c r="G108" s="2507" t="s">
        <v>2291</v>
      </c>
      <c r="H108" s="371">
        <f ca="1">ROUND(H107*10000/'数据-汇总表'!E3,0)</f>
        <v>29846</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4.抵押担保权已注销时的房地产抵押价值</v>
      </c>
      <c r="F109" s="3080"/>
      <c r="G109" s="2507" t="s">
        <v>2289</v>
      </c>
      <c r="H109" s="348">
        <f ca="1">IF(E109="——","——",H101-H105-H106)</f>
        <v>5411</v>
      </c>
      <c r="I109" s="138"/>
    </row>
    <row r="110" spans="1:35" ht="18.75" customHeight="1">
      <c r="A110" s="138"/>
      <c r="B110" s="138"/>
      <c r="C110" s="138"/>
      <c r="D110" s="138"/>
      <c r="E110" s="3110"/>
      <c r="F110" s="3080"/>
      <c r="G110" s="2507" t="s">
        <v>2291</v>
      </c>
      <c r="H110" s="371">
        <f ca="1">IF(H109="——","——",ROUND(H109*10000/'数据-汇总表'!E3,0))</f>
        <v>29846</v>
      </c>
      <c r="I110" s="138"/>
    </row>
    <row r="111" spans="1:35" ht="18.75" customHeight="1">
      <c r="A111" s="138"/>
      <c r="B111" s="138"/>
      <c r="C111" s="138"/>
      <c r="D111" s="138"/>
      <c r="E111" s="3111" t="str">
        <f>IF(项目基本情况!E9="抵押净值",IF(OR(项目基本情况!E8="已注销",项目基本情况!E8="房地产抵押价值"),"4.抵押净值","5.抵押净值"),"——")</f>
        <v>——</v>
      </c>
      <c r="F111" s="3112"/>
      <c r="G111" s="2507" t="s">
        <v>2289</v>
      </c>
      <c r="H111" s="1048" t="str">
        <f>IF(E111="——","——",N59)</f>
        <v>——</v>
      </c>
      <c r="I111" s="138"/>
    </row>
    <row r="112" spans="1:35" ht="18.75" customHeight="1" thickBot="1">
      <c r="A112" s="138"/>
      <c r="B112" s="138"/>
      <c r="C112" s="138"/>
      <c r="D112" s="138"/>
      <c r="E112" s="3113"/>
      <c r="F112" s="3114"/>
      <c r="G112" s="2512" t="s">
        <v>2291</v>
      </c>
      <c r="H112" s="790" t="str">
        <f>IF(E111="——","——",N61)</f>
        <v>——</v>
      </c>
      <c r="I112" s="138"/>
    </row>
    <row r="113" spans="1:11" ht="18.75" customHeight="1">
      <c r="A113" s="138"/>
      <c r="B113" s="138"/>
      <c r="C113" s="138"/>
      <c r="D113" s="138"/>
      <c r="E113" s="3122" t="s">
        <v>2297</v>
      </c>
      <c r="F113" s="3122"/>
      <c r="G113" s="3122"/>
      <c r="H113" s="3122"/>
      <c r="I113" s="138"/>
    </row>
    <row r="114" spans="1:11" ht="3.75" customHeight="1">
      <c r="A114" s="2405"/>
      <c r="B114" s="2405"/>
      <c r="C114" s="2405"/>
      <c r="D114" s="2405"/>
      <c r="E114" s="2483"/>
      <c r="F114" s="2483"/>
      <c r="G114" s="2483"/>
      <c r="H114" s="2483"/>
      <c r="I114" s="2405"/>
    </row>
    <row r="115" spans="1:11" ht="18.75" customHeight="1">
      <c r="A115" s="3135" t="s">
        <v>2299</v>
      </c>
      <c r="B115" s="3136"/>
      <c r="C115" s="3136"/>
      <c r="D115" s="3136"/>
      <c r="E115" s="3136"/>
      <c r="F115" s="3136"/>
      <c r="G115" s="3136"/>
      <c r="H115" s="3136"/>
      <c r="I115" s="3137"/>
    </row>
    <row r="116" spans="1:11" ht="27" customHeight="1">
      <c r="A116" s="3046" t="s">
        <v>2300</v>
      </c>
      <c r="B116" s="3089" t="s">
        <v>3111</v>
      </c>
      <c r="C116" s="3089" t="s">
        <v>3112</v>
      </c>
      <c r="D116" s="3095" t="s">
        <v>3113</v>
      </c>
      <c r="E116" s="3096"/>
      <c r="F116" s="3131" t="s">
        <v>3114</v>
      </c>
      <c r="G116" s="3131"/>
      <c r="H116" s="3046" t="s">
        <v>2301</v>
      </c>
      <c r="I116" s="3046"/>
    </row>
    <row r="117" spans="1:11" ht="18.75" customHeight="1">
      <c r="A117" s="3046"/>
      <c r="B117" s="3090"/>
      <c r="C117" s="3090"/>
      <c r="D117" s="1795" t="s">
        <v>2302</v>
      </c>
      <c r="E117" s="1795" t="s">
        <v>2303</v>
      </c>
      <c r="F117" s="1795" t="s">
        <v>2302</v>
      </c>
      <c r="G117" s="1795" t="s">
        <v>2304</v>
      </c>
      <c r="H117" s="1795" t="s">
        <v>2302</v>
      </c>
      <c r="I117" s="1795" t="s">
        <v>2304</v>
      </c>
    </row>
    <row r="118" spans="1:11" ht="24.75" customHeight="1">
      <c r="A118" s="2513" t="str">
        <f>项目基本情况!S2</f>
        <v>北京市丰台区海鹰路6号院28号楼房地产</v>
      </c>
      <c r="B118" s="1795">
        <f>M18</f>
        <v>1812.99</v>
      </c>
      <c r="C118" s="1795">
        <f>M19</f>
        <v>1000.01</v>
      </c>
      <c r="D118" s="1795">
        <f ca="1">ROUND(IF(D32="总价",C34,E118*B118/10000),0)</f>
        <v>4518</v>
      </c>
      <c r="E118" s="1795">
        <f ca="1">ROUND(IF(C33="自定义",IF(D32="楼面单价",C34,D118*10000/B118),I118-G118),0)</f>
        <v>24920</v>
      </c>
      <c r="F118" s="1795">
        <f ca="1">ROUND(IF(D32="总价",C35,G118*B118/10000),0)</f>
        <v>893</v>
      </c>
      <c r="G118" s="1795">
        <f ca="1">ROUND(IF(D32="楼面单价",C35,F118*10000/B118),0)</f>
        <v>4926</v>
      </c>
      <c r="H118" s="1795">
        <f ca="1">ROUND(IF(D32="总价",C32,I118*B118/10000),0)</f>
        <v>5411</v>
      </c>
      <c r="I118" s="1795">
        <f ca="1">ROUND(IF(D32="楼面单价",C32,H118*10000/B118),0)</f>
        <v>29846</v>
      </c>
    </row>
    <row r="119" spans="1:11" ht="18.75" customHeight="1">
      <c r="A119" s="3046" t="s">
        <v>2305</v>
      </c>
      <c r="B119" s="3046"/>
      <c r="C119" s="3046"/>
      <c r="D119" s="3091" t="str">
        <f ca="1">NUMBERSTRING(INT(D118*10000),2)&amp;"元整"</f>
        <v>肆仟伍佰壹拾捌万元整</v>
      </c>
      <c r="E119" s="3092"/>
      <c r="F119" s="3091" t="str">
        <f ca="1">NUMBERSTRING(INT(F118*10000),2)&amp;"元整"</f>
        <v>捌佰玖拾叁万元整</v>
      </c>
      <c r="G119" s="3092"/>
      <c r="H119" s="3091" t="str">
        <f ca="1">NUMBERSTRING(INT(H118*10000),2)&amp;"元整"</f>
        <v>伍仟肆佰壹拾壹万元整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0" t="str">
        <f>IF(D120=0,"故，本次评估不存在"&amp;A120,"故，本次评估"&amp;A120&amp;"为人民币"&amp;D120&amp;"万元整。")</f>
        <v>故，本次评估不存在估价师知悉的法定优先受偿款</v>
      </c>
    </row>
    <row r="121" spans="1:11" ht="18.75" customHeight="1">
      <c r="A121" s="3132" t="s">
        <v>2305</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5411</v>
      </c>
      <c r="E122" s="3087"/>
      <c r="F122" s="3087"/>
      <c r="G122" s="3087"/>
      <c r="H122" s="3087"/>
      <c r="I122" s="3088"/>
    </row>
    <row r="123" spans="1:11" ht="18.75" customHeight="1">
      <c r="A123" s="3046" t="s">
        <v>2305</v>
      </c>
      <c r="B123" s="3046"/>
      <c r="C123" s="3046"/>
      <c r="D123" s="3091" t="str">
        <f ca="1">NUMBERSTRING(INT(D122*10000),2)&amp;"元整"</f>
        <v>伍仟肆佰壹拾壹万元整</v>
      </c>
      <c r="E123" s="3093"/>
      <c r="F123" s="3093"/>
      <c r="G123" s="3093"/>
      <c r="H123" s="3093"/>
      <c r="I123" s="3092"/>
    </row>
    <row r="124" spans="1:11" ht="18.75" customHeight="1">
      <c r="A124" s="3097" t="str">
        <f>IF(项目基本情况!B9="房地产市场价值","",MID(E109,3,LEN(E109)-2))</f>
        <v>抵押担保权已注销时的房地产抵押价值</v>
      </c>
      <c r="B124" s="3097"/>
      <c r="C124" s="3097"/>
      <c r="D124" s="3086">
        <f ca="1">H109</f>
        <v>5411</v>
      </c>
      <c r="E124" s="3087"/>
      <c r="F124" s="3087"/>
      <c r="G124" s="3087"/>
      <c r="H124" s="3087"/>
      <c r="I124" s="3088"/>
    </row>
    <row r="125" spans="1:11" ht="18.75" customHeight="1">
      <c r="A125" s="3046" t="s">
        <v>2305</v>
      </c>
      <c r="B125" s="3046"/>
      <c r="C125" s="3046"/>
      <c r="D125" s="3091" t="str">
        <f ca="1">NUMBERSTRING(INT(D124*10000),2)&amp;"元整"</f>
        <v>伍仟肆佰壹拾壹万元整</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2305</v>
      </c>
      <c r="B127" s="3046"/>
      <c r="C127" s="3046"/>
      <c r="D127" s="3091" t="e">
        <f>NUMBERSTRING(INT(D126*10000),2)&amp;"元整"</f>
        <v>#VALUE!</v>
      </c>
      <c r="E127" s="3093"/>
      <c r="F127" s="3093"/>
      <c r="G127" s="3093"/>
      <c r="H127" s="3093"/>
      <c r="I127" s="3092"/>
    </row>
    <row r="128" spans="1:11" ht="21.75" customHeight="1">
      <c r="A128" s="3094" t="s">
        <v>2306</v>
      </c>
      <c r="B128" s="3094"/>
      <c r="C128" s="3094"/>
      <c r="D128" s="3094"/>
      <c r="E128" s="3094"/>
      <c r="F128" s="3094"/>
      <c r="G128" s="3094"/>
      <c r="H128" s="3094"/>
      <c r="I128" s="3094"/>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2309</v>
      </c>
      <c r="G135" s="2531"/>
      <c r="H135" s="2531"/>
      <c r="I135" s="2532" t="s">
        <v>2310</v>
      </c>
    </row>
    <row r="136" spans="1:35" ht="21.75" customHeight="1">
      <c r="A136" s="795"/>
      <c r="B136" s="2533"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2312</v>
      </c>
    </row>
    <row r="139" spans="1:35" ht="21.75" customHeight="1">
      <c r="A139" s="795"/>
      <c r="B139" s="2533" t="s">
        <v>2313</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2312</v>
      </c>
    </row>
    <row r="142" spans="1:35" ht="21.75" customHeight="1">
      <c r="A142" s="795"/>
      <c r="B142" s="2533"/>
      <c r="C142" s="2534"/>
      <c r="D142" s="2535"/>
      <c r="E142" s="2535"/>
      <c r="F142" s="2328"/>
      <c r="G142" s="795"/>
      <c r="H142" s="795"/>
      <c r="I142" s="795"/>
    </row>
    <row r="143" spans="1:35" s="139" customFormat="1" ht="21.75" customHeight="1">
      <c r="A143" s="795"/>
      <c r="B143" s="2533"/>
      <c r="C143" s="2534"/>
      <c r="D143" s="2535"/>
      <c r="E143" s="2535"/>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7"/>
      <c r="C1" s="242"/>
      <c r="D1" s="242"/>
      <c r="E1" s="242"/>
      <c r="F1" s="242"/>
      <c r="G1" s="1380">
        <f>MATCH(B1,'数据-取费表'!A6:A16,0)+5</f>
        <v>7</v>
      </c>
    </row>
    <row r="2" spans="1:9" s="244" customFormat="1" ht="18" customHeight="1">
      <c r="A2" s="245" t="s">
        <v>2315</v>
      </c>
      <c r="B2" s="246">
        <f ca="1">IF(D2="——",C52,C52-E2)</f>
        <v>645</v>
      </c>
      <c r="C2" s="243" t="s">
        <v>2316</v>
      </c>
      <c r="D2" s="2536" t="s">
        <v>70</v>
      </c>
      <c r="E2" s="1441" t="e">
        <f ca="1">SUMIF(INDIRECT("'"&amp;G2&amp;"'"&amp;"!A:A"),"承租人权益价值",INDIRECT("'"&amp;G2&amp;"'"&amp;"!c:c"))</f>
        <v>#REF!</v>
      </c>
      <c r="F2" s="2537" t="s">
        <v>2316</v>
      </c>
      <c r="G2" s="2538"/>
    </row>
    <row r="3" spans="1:9" s="244" customFormat="1" ht="18" customHeight="1" thickBot="1">
      <c r="A3" s="247" t="s">
        <v>2317</v>
      </c>
      <c r="B3" s="248">
        <f ca="1">ROUND(B2*10000/(IF(B1="",'数据-汇总表'!E3,INDIRECT("'数据-取费表'!k"&amp;$G$1))),0)</f>
        <v>3558</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0</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0</v>
      </c>
      <c r="D8" s="266"/>
      <c r="E8" s="264"/>
      <c r="F8" s="265"/>
      <c r="G8" s="2539"/>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160</v>
      </c>
      <c r="F9" s="265"/>
      <c r="G9" s="2540"/>
      <c r="H9" s="1391"/>
      <c r="I9" s="2541" t="s">
        <v>2332</v>
      </c>
    </row>
    <row r="10" spans="1:9" s="258" customFormat="1" ht="13.5" customHeight="1">
      <c r="A10" s="953" t="s">
        <v>801</v>
      </c>
      <c r="B10" s="268" t="s">
        <v>2333</v>
      </c>
      <c r="C10" s="269">
        <f ca="1">ROUND(D10*E10/10000,0)</f>
        <v>36</v>
      </c>
      <c r="D10" s="1035">
        <f ca="1">IF(B1="",'数据-汇总表'!E6,IF(INDIRECT("'数据-取费表'!c"&amp;$G$1)="住宅",INDIRECT("'数据-取费表'!s"&amp;$G$1),INDIRECT("'数据-取费表'!k"&amp;$G$1)+INDIRECT("'数据-取费表'!s"&amp;$G$1)))</f>
        <v>1812.99</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27</v>
      </c>
      <c r="D19" s="1039">
        <f ca="1">D9+D10</f>
        <v>1812.99</v>
      </c>
      <c r="E19" s="255">
        <f>'数据-取费表'!B31</f>
        <v>150</v>
      </c>
      <c r="F19" s="275"/>
      <c r="G19" s="2539"/>
    </row>
    <row r="20" spans="1:7" s="258" customFormat="1" ht="13.5" customHeight="1">
      <c r="A20" s="299" t="s">
        <v>2346</v>
      </c>
      <c r="B20" s="254" t="s">
        <v>2347</v>
      </c>
      <c r="C20" s="276">
        <f ca="1">ROUND((C5+C19)*F20,0)</f>
        <v>1</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5">
        <f ca="1">ROUND(SUM(C23:C25),0)</f>
        <v>2</v>
      </c>
      <c r="D22" s="279">
        <f ca="1">C26</f>
        <v>6.9999999999999999E-4</v>
      </c>
      <c r="E22" s="280" t="s">
        <v>2351</v>
      </c>
      <c r="F22" s="281">
        <f ca="1">'数据-取费表'!B40</f>
        <v>4.7500000000000001E-2</v>
      </c>
      <c r="G22" s="278" t="str">
        <f>IF('数据-取费表'!B22&lt;=1,"单利计息","复利计息")</f>
        <v>复利计息</v>
      </c>
    </row>
    <row r="23" spans="1:7" s="258" customFormat="1" ht="13.5" customHeight="1">
      <c r="A23" s="954" t="s">
        <v>2355</v>
      </c>
      <c r="B23" s="259" t="s">
        <v>2356</v>
      </c>
      <c r="C23" s="1356">
        <f ca="1">ROUND(IF('数据-取费表'!B22&lt;=1,C5*F22*'数据-取费表'!B23,C5*(POWER((1+F22),'数据-取费表'!B23)-1)),0)</f>
        <v>0</v>
      </c>
      <c r="D23" s="282"/>
      <c r="E23" s="282"/>
      <c r="F23" s="283"/>
      <c r="G23" s="284" t="s">
        <v>2357</v>
      </c>
    </row>
    <row r="24" spans="1:7" s="258" customFormat="1" ht="13.5" customHeight="1">
      <c r="A24" s="954" t="s">
        <v>2358</v>
      </c>
      <c r="B24" s="259" t="s">
        <v>2359</v>
      </c>
      <c r="C24" s="1356">
        <f ca="1">ROUND(IF('数据-取费表'!B22&lt;=1,C19*F22*('数据-取费表'!B19/2+'数据-取费表'!B21),C19*(POWER((1+F22),('数据-取费表'!B19/2+'数据-取费表'!B21))-1)),0)</f>
        <v>2</v>
      </c>
      <c r="D24" s="282"/>
      <c r="E24" s="282"/>
      <c r="F24" s="283"/>
      <c r="G24" s="284" t="s">
        <v>2360</v>
      </c>
    </row>
    <row r="25" spans="1:7" s="258" customFormat="1" ht="24">
      <c r="A25" s="954" t="s">
        <v>2361</v>
      </c>
      <c r="B25" s="259" t="s">
        <v>2362</v>
      </c>
      <c r="C25" s="1356">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4</v>
      </c>
      <c r="D27" s="279">
        <f ca="1">C29</f>
        <v>3.0000000000000001E-3</v>
      </c>
      <c r="E27" s="280" t="s">
        <v>2367</v>
      </c>
      <c r="F27" s="290">
        <f ca="1">IF(B1="",'数据-取费表'!Q16,INDIRECT("'数据-取费表'!q"&amp;$G$1))</f>
        <v>0.15</v>
      </c>
      <c r="G27" s="291" t="s">
        <v>2368</v>
      </c>
    </row>
    <row r="28" spans="1:7" s="258" customFormat="1" ht="13.5" customHeight="1">
      <c r="A28" s="954" t="s">
        <v>791</v>
      </c>
      <c r="B28" s="292" t="s">
        <v>2369</v>
      </c>
      <c r="C28" s="293">
        <f ca="1">ROUND((C5+C19+C20)*F27*'数据-取费表'!B21/'数据-取费表'!B20,0)</f>
        <v>4</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37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567</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508</v>
      </c>
      <c r="D34" s="261"/>
      <c r="E34" s="264"/>
      <c r="F34" s="301">
        <f ca="1">IF('数据-取费表'!B24=0,1,IF(B1="",'数据-取费表'!N16,INDIRECT("'数据-取费表'!n"&amp;$G$1)))</f>
        <v>1</v>
      </c>
      <c r="G34" s="263" t="s">
        <v>2379</v>
      </c>
    </row>
    <row r="35" spans="1:7" ht="13.5" customHeight="1">
      <c r="A35" s="954" t="s">
        <v>796</v>
      </c>
      <c r="B35" s="259" t="s">
        <v>2380</v>
      </c>
      <c r="C35" s="264">
        <f ca="1">ROUND(C34*F35,0)</f>
        <v>15</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36</v>
      </c>
      <c r="D37" s="261">
        <f ca="1">D19</f>
        <v>1812.99</v>
      </c>
      <c r="E37" s="293">
        <f>'数据-取费表'!B35</f>
        <v>200</v>
      </c>
      <c r="F37" s="303"/>
      <c r="G37" s="305" t="s">
        <v>2385</v>
      </c>
    </row>
    <row r="38" spans="1:7" ht="13.5" customHeight="1">
      <c r="A38" s="954" t="s">
        <v>799</v>
      </c>
      <c r="B38" s="259" t="s">
        <v>2386</v>
      </c>
      <c r="C38" s="264">
        <f ca="1">ROUND(C34*F38,0)</f>
        <v>8</v>
      </c>
      <c r="D38" s="264"/>
      <c r="E38" s="264"/>
      <c r="F38" s="303">
        <f>'数据-取费表'!B36</f>
        <v>1.4999999999999999E-2</v>
      </c>
      <c r="G38" s="263" t="s">
        <v>2381</v>
      </c>
    </row>
    <row r="39" spans="1:7" s="258" customFormat="1" ht="13.5" customHeight="1">
      <c r="A39" s="299" t="s">
        <v>2387</v>
      </c>
      <c r="B39" s="254" t="s">
        <v>2388</v>
      </c>
      <c r="C39" s="276">
        <f ca="1">ROUND(C33*F20,0)</f>
        <v>11</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20</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ROUND(IF('数据-取费表'!B22&lt;=1,C33*F22*'数据-取费表'!B21/2,C33*(POWER((1+F22),'数据-取费表'!B21/2)-1)),0)</f>
        <v>20</v>
      </c>
      <c r="D42" s="282"/>
      <c r="E42" s="282"/>
      <c r="F42" s="283"/>
      <c r="G42" s="3166" t="s">
        <v>2397</v>
      </c>
    </row>
    <row r="43" spans="1:7" ht="13.5" customHeight="1">
      <c r="A43" s="954" t="s">
        <v>792</v>
      </c>
      <c r="B43" s="259" t="s">
        <v>2398</v>
      </c>
      <c r="C43" s="282">
        <f ca="1">ROUND(IF('数据-取费表'!B22&lt;=1,C39*F22*'数据-取费表'!B21/2,C39*(POWER((1+F22),'数据-取费表'!B21/2)-1)),0)</f>
        <v>0</v>
      </c>
      <c r="D43" s="282"/>
      <c r="E43" s="282"/>
      <c r="F43" s="283"/>
      <c r="G43" s="3167"/>
    </row>
    <row r="44" spans="1:7" ht="13.5" customHeight="1">
      <c r="A44" s="954" t="s">
        <v>793</v>
      </c>
      <c r="B44" s="259" t="s">
        <v>2399</v>
      </c>
      <c r="C44" s="282">
        <f ca="1">ROUND(IF('数据-取费表'!B22&lt;=1,C40*F22*'数据-取费表'!B21/2,C40*(POWER((1+F22),'数据-取费表'!B21/2)-1)),4)</f>
        <v>6.9999999999999999E-4</v>
      </c>
      <c r="D44" s="282"/>
      <c r="E44" s="282"/>
      <c r="F44" s="283"/>
      <c r="G44" s="3168"/>
    </row>
    <row r="45" spans="1:7" s="258" customFormat="1" ht="13.5" customHeight="1">
      <c r="A45" s="299" t="s">
        <v>2400</v>
      </c>
      <c r="B45" s="288" t="s">
        <v>2366</v>
      </c>
      <c r="C45" s="289">
        <f ca="1">C46</f>
        <v>87</v>
      </c>
      <c r="D45" s="279">
        <f ca="1">C47</f>
        <v>3.0000000000000001E-3</v>
      </c>
      <c r="E45" s="280" t="s">
        <v>2392</v>
      </c>
      <c r="F45" s="290"/>
      <c r="G45" s="291" t="s">
        <v>2401</v>
      </c>
    </row>
    <row r="46" spans="1:7" s="258" customFormat="1" ht="13.5" customHeight="1">
      <c r="A46" s="954" t="s">
        <v>791</v>
      </c>
      <c r="B46" s="292" t="s">
        <v>2402</v>
      </c>
      <c r="C46" s="293">
        <f ca="1">ROUND((C33+C39)*F27,0)</f>
        <v>87</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742</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608</v>
      </c>
      <c r="D51" s="276"/>
      <c r="E51" s="276"/>
      <c r="F51" s="308"/>
      <c r="G51" s="278" t="s">
        <v>2413</v>
      </c>
    </row>
    <row r="52" spans="1:7" s="252" customFormat="1" ht="16.5" thickBot="1">
      <c r="A52" s="309" t="s">
        <v>2414</v>
      </c>
      <c r="B52" s="310"/>
      <c r="C52" s="311">
        <f ca="1">C31+C51</f>
        <v>645</v>
      </c>
      <c r="D52" s="310"/>
      <c r="E52" s="310"/>
      <c r="F52" s="310"/>
      <c r="G52" s="312"/>
    </row>
    <row r="55" spans="1:7" ht="15">
      <c r="B55" s="314" t="s">
        <v>2415</v>
      </c>
      <c r="C55" s="315"/>
    </row>
    <row r="56" spans="1:7">
      <c r="B56" s="317" t="s">
        <v>1513</v>
      </c>
      <c r="C56" s="319">
        <f ca="1">1-C57</f>
        <v>5.7000000000000051E-2</v>
      </c>
    </row>
    <row r="57" spans="1:7">
      <c r="B57" s="317" t="s">
        <v>1514</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0" t="str">
        <f>项目基本情况!B1</f>
        <v>北京市丰台区海鹰路6号院28号楼房地产抵押价值预评估</v>
      </c>
      <c r="C37" s="2980"/>
      <c r="D37" s="2980"/>
      <c r="E37" s="2980"/>
      <c r="F37" s="2980"/>
      <c r="G37" s="2980"/>
      <c r="H37" s="2980"/>
      <c r="I37" s="2980"/>
    </row>
    <row r="38" spans="1:9">
      <c r="A38" s="1019"/>
      <c r="B38" s="1019"/>
    </row>
    <row r="39" spans="1:9">
      <c r="A39" s="1017" t="s">
        <v>818</v>
      </c>
      <c r="B39" s="1017" t="s">
        <v>820</v>
      </c>
    </row>
    <row r="40" spans="1:9">
      <c r="A40" s="1017"/>
      <c r="B40" s="1942" t="str">
        <f>项目基本情况!B5</f>
        <v>北京华新电工设备有限公司</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 ca="1">项目基本情况!K4</f>
        <v>欧红伟（注册号：1120000080)、郑燚（注册号：1120070131)</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7"/>
      <c r="C1" s="2542" t="s">
        <v>2416</v>
      </c>
      <c r="D1" s="242"/>
      <c r="E1" s="242"/>
      <c r="F1" s="242"/>
      <c r="G1" s="1380">
        <f>MATCH(B1,'数据-取费表'!A6:A16,0)+5</f>
        <v>7</v>
      </c>
      <c r="H1" s="1283" t="str">
        <f>IF(ISERROR(FIND("住宅",B1)),"非住宅","住宅")</f>
        <v>非住宅</v>
      </c>
    </row>
    <row r="2" spans="1:8" s="244" customFormat="1" ht="18" customHeight="1">
      <c r="A2" s="245" t="s">
        <v>2315</v>
      </c>
      <c r="B2" s="246">
        <f ca="1">ROUND(IF(D2="——",C52/10000,C52/10000-E2),0)</f>
        <v>694</v>
      </c>
      <c r="C2" s="243" t="s">
        <v>2316</v>
      </c>
      <c r="D2" s="2536" t="s">
        <v>70</v>
      </c>
      <c r="E2" s="1441" t="e">
        <f ca="1">SUMIF(INDIRECT("'"&amp;G2&amp;"'"&amp;"!A:A"),"承租人权益价值",INDIRECT("'"&amp;G2&amp;"'"&amp;"!c:c"))</f>
        <v>#REF!</v>
      </c>
      <c r="F2" s="2537" t="s">
        <v>2316</v>
      </c>
      <c r="G2" s="2538"/>
    </row>
    <row r="3" spans="1:8" s="244" customFormat="1" ht="18" customHeight="1" thickBot="1">
      <c r="A3" s="247" t="s">
        <v>2317</v>
      </c>
      <c r="B3" s="248">
        <f ca="1">ROUND(B2*10000/(IF(B1="",'数据-汇总表'!E3,INDIRECT("'数据-取费表'!k"&amp;$G$1))),0)</f>
        <v>3828</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362598</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362598</v>
      </c>
      <c r="D8" s="266"/>
      <c r="E8" s="264"/>
      <c r="F8" s="265"/>
      <c r="G8" s="2539"/>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2333</v>
      </c>
      <c r="C10" s="269">
        <f ca="1">ROUND(D10*E10,0)</f>
        <v>362598</v>
      </c>
      <c r="D10" s="1035">
        <f ca="1">IF(B1="",'数据-汇总表'!E6,IF(INDIRECT("'数据-取费表'!c"&amp;$G$1)="住宅",INDIRECT("'数据-取费表'!s"&amp;$G$1),INDIRECT("'数据-取费表'!k"&amp;$G$1)+INDIRECT("'数据-取费表'!s"&amp;$G$1)))</f>
        <v>1812.99</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271949</v>
      </c>
      <c r="D19" s="1039">
        <f ca="1">D9+D10</f>
        <v>1812.99</v>
      </c>
      <c r="E19" s="255">
        <f>'数据-取费表'!B31</f>
        <v>150</v>
      </c>
      <c r="F19" s="275"/>
      <c r="G19" s="2539"/>
    </row>
    <row r="20" spans="1:7" s="258" customFormat="1" ht="13.5" customHeight="1">
      <c r="A20" s="299" t="s">
        <v>2427</v>
      </c>
      <c r="B20" s="254" t="s">
        <v>2428</v>
      </c>
      <c r="C20" s="276">
        <f ca="1">ROUND((C5+C19)*F20,0)</f>
        <v>12691</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1">
        <f ca="1">ROUND(SUM(C23:C25),0)</f>
        <v>46194</v>
      </c>
      <c r="D22" s="279">
        <f ca="1">C26</f>
        <v>6.9999999999999999E-4</v>
      </c>
      <c r="E22" s="280" t="s">
        <v>2432</v>
      </c>
      <c r="F22" s="281">
        <f ca="1">'数据-取费表'!B40</f>
        <v>4.7500000000000001E-2</v>
      </c>
      <c r="G22" s="278" t="str">
        <f>IF('数据-取费表'!B22&lt;=1,"单利计息","复利计息")</f>
        <v>复利计息</v>
      </c>
    </row>
    <row r="23" spans="1:7" s="258" customFormat="1" ht="13.5" customHeight="1">
      <c r="A23" s="954" t="s">
        <v>2325</v>
      </c>
      <c r="B23" s="259" t="s">
        <v>2436</v>
      </c>
      <c r="C23" s="1382">
        <f ca="1">ROUND(IF('数据-取费表'!B22&lt;=1,C5*F22*'数据-取费表'!B22,C5*(POWER((1+F22),'数据-取费表'!B22)-1)),0)</f>
        <v>26140</v>
      </c>
      <c r="D23" s="282"/>
      <c r="E23" s="282"/>
      <c r="F23" s="283"/>
      <c r="G23" s="284" t="s">
        <v>2437</v>
      </c>
    </row>
    <row r="24" spans="1:7" s="258" customFormat="1" ht="13.5" customHeight="1">
      <c r="A24" s="954" t="s">
        <v>2327</v>
      </c>
      <c r="B24" s="259" t="s">
        <v>2438</v>
      </c>
      <c r="C24" s="1382">
        <f ca="1">ROUND(IF('数据-取费表'!B22&lt;=1,C19*F22*('数据-取费表'!B19/2+'数据-取费表'!B20),C19*(POWER((1+F22),('数据-取费表'!B19/2+'数据-取费表'!B20))-1)),0)</f>
        <v>19605</v>
      </c>
      <c r="D24" s="282"/>
      <c r="E24" s="282"/>
      <c r="F24" s="283"/>
      <c r="G24" s="284" t="s">
        <v>2439</v>
      </c>
    </row>
    <row r="25" spans="1:7" s="258" customFormat="1" ht="24">
      <c r="A25" s="954" t="s">
        <v>2329</v>
      </c>
      <c r="B25" s="259" t="s">
        <v>2440</v>
      </c>
      <c r="C25" s="1382">
        <f ca="1">ROUND(IF('数据-取费表'!B22&lt;=1,C20*F22*'数据-取费表'!B22/2,C20*(POWER((1+F22),'数据-取费表'!B22/2)-1)),0)</f>
        <v>449</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97086</v>
      </c>
      <c r="D27" s="279">
        <f ca="1">C29</f>
        <v>3.0000000000000001E-3</v>
      </c>
      <c r="E27" s="280" t="s">
        <v>2367</v>
      </c>
      <c r="F27" s="290">
        <f ca="1">IF(B1="",'数据-取费表'!Q16,INDIRECT("'数据-取费表'!q"&amp;$G$1))</f>
        <v>0.15</v>
      </c>
      <c r="G27" s="291" t="s">
        <v>2368</v>
      </c>
    </row>
    <row r="28" spans="1:7" s="258" customFormat="1" ht="13.5" customHeight="1">
      <c r="A28" s="954" t="s">
        <v>791</v>
      </c>
      <c r="B28" s="292" t="s">
        <v>2369</v>
      </c>
      <c r="C28" s="293">
        <f ca="1">ROUND((C5+C19+C20)*F27,0)</f>
        <v>97086</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856466</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5667407</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5076372</v>
      </c>
      <c r="D34" s="261"/>
      <c r="E34" s="264"/>
      <c r="F34" s="301"/>
      <c r="G34" s="263"/>
    </row>
    <row r="35" spans="1:7" ht="13.5" customHeight="1">
      <c r="A35" s="954" t="s">
        <v>796</v>
      </c>
      <c r="B35" s="259" t="s">
        <v>2380</v>
      </c>
      <c r="C35" s="264">
        <f ca="1">ROUND(C34*F35,0)</f>
        <v>152291</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362598</v>
      </c>
      <c r="D37" s="261">
        <f ca="1">D19</f>
        <v>1812.99</v>
      </c>
      <c r="E37" s="293">
        <f>'数据-取费表'!B35</f>
        <v>200</v>
      </c>
      <c r="F37" s="303"/>
      <c r="G37" s="305"/>
    </row>
    <row r="38" spans="1:7" ht="13.5" customHeight="1">
      <c r="A38" s="954" t="s">
        <v>799</v>
      </c>
      <c r="B38" s="259" t="s">
        <v>2386</v>
      </c>
      <c r="C38" s="264">
        <f ca="1">ROUND(C34*F38,0)</f>
        <v>76146</v>
      </c>
      <c r="D38" s="264"/>
      <c r="E38" s="264"/>
      <c r="F38" s="303">
        <f>'数据-取费表'!B36</f>
        <v>1.4999999999999999E-2</v>
      </c>
      <c r="G38" s="263" t="s">
        <v>2381</v>
      </c>
    </row>
    <row r="39" spans="1:7" s="258" customFormat="1" ht="13.5" customHeight="1">
      <c r="A39" s="299" t="s">
        <v>2387</v>
      </c>
      <c r="B39" s="254" t="s">
        <v>2388</v>
      </c>
      <c r="C39" s="276">
        <f ca="1">ROUND(C33*F20,0)</f>
        <v>113348</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204741</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ROUND(IF('数据-取费表'!B22&lt;=1,C33*F22*'数据-取费表'!B20/2,C33*(POWER((1+F22),'数据-取费表'!B20/2)-1)),0)</f>
        <v>200726</v>
      </c>
      <c r="D42" s="282"/>
      <c r="E42" s="282"/>
      <c r="F42" s="283"/>
      <c r="G42" s="3166" t="s">
        <v>2444</v>
      </c>
    </row>
    <row r="43" spans="1:7" ht="13.5" customHeight="1">
      <c r="A43" s="954" t="s">
        <v>792</v>
      </c>
      <c r="B43" s="259" t="s">
        <v>2398</v>
      </c>
      <c r="C43" s="282">
        <f ca="1">ROUND(IF('数据-取费表'!B22&lt;=1,C39*F22*'数据-取费表'!B20/2,C39*(POWER((1+F22),'数据-取费表'!B20/2)-1)),0)</f>
        <v>4015</v>
      </c>
      <c r="D43" s="282"/>
      <c r="E43" s="282"/>
      <c r="F43" s="283"/>
      <c r="G43" s="3167"/>
    </row>
    <row r="44" spans="1:7" ht="13.5" customHeight="1">
      <c r="A44" s="954" t="s">
        <v>793</v>
      </c>
      <c r="B44" s="259" t="s">
        <v>2399</v>
      </c>
      <c r="C44" s="282">
        <f ca="1">ROUND(IF('数据-取费表'!B22&lt;=1,C40*F22*'数据-取费表'!B20/2,C40*(POWER((1+F22),'数据-取费表'!B20/2)-1)),4)</f>
        <v>6.9999999999999999E-4</v>
      </c>
      <c r="D44" s="282"/>
      <c r="E44" s="282"/>
      <c r="F44" s="283"/>
      <c r="G44" s="3168"/>
    </row>
    <row r="45" spans="1:7" s="258" customFormat="1" ht="13.5" customHeight="1">
      <c r="A45" s="299" t="s">
        <v>2400</v>
      </c>
      <c r="B45" s="288" t="s">
        <v>2366</v>
      </c>
      <c r="C45" s="289">
        <f ca="1">C46</f>
        <v>867113</v>
      </c>
      <c r="D45" s="279">
        <f ca="1">C47</f>
        <v>3.0000000000000001E-3</v>
      </c>
      <c r="E45" s="280" t="s">
        <v>2392</v>
      </c>
      <c r="F45" s="290"/>
      <c r="G45" s="291" t="s">
        <v>2401</v>
      </c>
    </row>
    <row r="46" spans="1:7" s="258" customFormat="1" ht="13.5" customHeight="1">
      <c r="A46" s="954" t="s">
        <v>791</v>
      </c>
      <c r="B46" s="292" t="s">
        <v>2402</v>
      </c>
      <c r="C46" s="293">
        <f ca="1">ROUND((C33+C39)*F27,0)</f>
        <v>867113</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7424278</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6087908</v>
      </c>
      <c r="D51" s="276"/>
      <c r="E51" s="276"/>
      <c r="F51" s="308"/>
      <c r="G51" s="278" t="s">
        <v>2413</v>
      </c>
    </row>
    <row r="52" spans="1:7" s="252" customFormat="1" ht="16.5" thickBot="1">
      <c r="A52" s="309" t="s">
        <v>2414</v>
      </c>
      <c r="B52" s="310"/>
      <c r="C52" s="311">
        <f ca="1">C31+C51</f>
        <v>6944374</v>
      </c>
      <c r="D52" s="310"/>
      <c r="E52" s="310"/>
      <c r="F52" s="310"/>
      <c r="G52" s="312"/>
    </row>
    <row r="55" spans="1:7" ht="15">
      <c r="B55" s="314" t="s">
        <v>2415</v>
      </c>
      <c r="C55" s="315"/>
    </row>
    <row r="56" spans="1:7">
      <c r="B56" s="317" t="s">
        <v>1513</v>
      </c>
      <c r="C56" s="319">
        <f ca="1">1-C57</f>
        <v>0.123</v>
      </c>
    </row>
    <row r="57" spans="1:7">
      <c r="B57" s="317" t="s">
        <v>1514</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-42</v>
      </c>
      <c r="C2" s="320" t="s">
        <v>2448</v>
      </c>
      <c r="D2" s="320"/>
      <c r="E2" s="320"/>
      <c r="F2" s="320"/>
      <c r="G2" s="320"/>
      <c r="H2" s="320"/>
      <c r="I2" s="320"/>
      <c r="J2" s="320"/>
      <c r="K2" s="320"/>
    </row>
    <row r="3" spans="1:33" ht="18" customHeight="1" thickBot="1">
      <c r="A3" s="247" t="s">
        <v>2317</v>
      </c>
      <c r="B3" s="248">
        <f ca="1">ROUND(B2*10000/IF(C1="",'数据-汇总表'!E3,INDIRECT("'数据-取费表'!K"&amp;$K$1)),0)</f>
        <v>-232</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43" t="s">
        <v>2453</v>
      </c>
      <c r="D5" s="2543" t="s">
        <v>2454</v>
      </c>
      <c r="E5" s="2543" t="s">
        <v>2455</v>
      </c>
      <c r="F5" s="2543"/>
      <c r="G5" s="2543"/>
      <c r="H5" s="2543"/>
      <c r="I5" s="2543"/>
      <c r="J5" s="2543"/>
      <c r="K5" s="254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44"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1812.99</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78"/>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1812.99</v>
      </c>
      <c r="E17" s="24">
        <f>'数据-取费表'!B32</f>
        <v>0</v>
      </c>
      <c r="F17" s="981"/>
      <c r="G17" s="140" t="s">
        <v>2479</v>
      </c>
      <c r="H17" s="1578"/>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36</v>
      </c>
      <c r="D18" s="1036"/>
      <c r="E18" s="24"/>
      <c r="F18" s="979"/>
      <c r="G18" s="2545"/>
      <c r="H18" s="1577"/>
      <c r="I18" s="2546"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160</v>
      </c>
      <c r="F19" s="979"/>
      <c r="G19" s="15"/>
      <c r="H19" s="1579"/>
      <c r="I19" s="984"/>
      <c r="J19" s="984"/>
      <c r="K19" s="985"/>
    </row>
    <row r="20" spans="1:33" s="978" customFormat="1" ht="13.5" customHeight="1">
      <c r="A20" s="974" t="s">
        <v>806</v>
      </c>
      <c r="B20" s="975" t="s">
        <v>2483</v>
      </c>
      <c r="C20" s="24">
        <f ca="1">ROUND(D20*E20/10000,0)</f>
        <v>36</v>
      </c>
      <c r="D20" s="1036">
        <f ca="1">IF(C1="",'数据-汇总表'!E6,IF(INDIRECT("'数据-取费表'!c"&amp;$K$1)="住宅",INDIRECT("'数据-取费表'!s"&amp;$K$1),INDIRECT("'数据-取费表'!k"&amp;$K$1)+INDIRECT("'数据-取费表'!s"&amp;$K$1)))</f>
        <v>1812.99</v>
      </c>
      <c r="E20" s="24">
        <f>'数据-取费表'!B28</f>
        <v>200</v>
      </c>
      <c r="F20" s="979"/>
      <c r="G20" s="15"/>
      <c r="H20" s="984"/>
      <c r="I20" s="984"/>
      <c r="J20" s="984"/>
      <c r="K20" s="985"/>
    </row>
    <row r="21" spans="1:33" s="978" customFormat="1" ht="13.5" customHeight="1">
      <c r="A21" s="964" t="s">
        <v>802</v>
      </c>
      <c r="B21" s="988" t="s">
        <v>2484</v>
      </c>
      <c r="C21" s="989">
        <f ca="1">C16+C17+C18</f>
        <v>36</v>
      </c>
      <c r="D21" s="990"/>
      <c r="E21" s="325"/>
      <c r="F21" s="325"/>
      <c r="G21" s="140" t="s">
        <v>2485</v>
      </c>
      <c r="H21" s="982"/>
      <c r="I21" s="982"/>
      <c r="J21" s="982"/>
      <c r="K21" s="983"/>
    </row>
    <row r="22" spans="1:33" s="978" customFormat="1" ht="13.5" customHeight="1">
      <c r="A22" s="964" t="s">
        <v>2457</v>
      </c>
      <c r="B22" s="988" t="s">
        <v>2486</v>
      </c>
      <c r="C22" s="989">
        <f ca="1">ROUND(C21*F22,0)</f>
        <v>1</v>
      </c>
      <c r="D22" s="325"/>
      <c r="E22" s="325"/>
      <c r="F22" s="991">
        <f>'数据-取费表'!B37</f>
        <v>0.02</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0.02</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2495</v>
      </c>
      <c r="C26" s="1358">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2496</v>
      </c>
      <c r="C27" s="1359">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82"/>
      <c r="I27" s="982"/>
      <c r="J27" s="982"/>
      <c r="K27" s="983"/>
    </row>
    <row r="28" spans="1:33" s="333" customFormat="1" ht="13.5" customHeight="1">
      <c r="A28" s="964" t="s">
        <v>2497</v>
      </c>
      <c r="B28" s="2548" t="s">
        <v>2498</v>
      </c>
      <c r="C28" s="331">
        <f ca="1">C30</f>
        <v>6</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6</v>
      </c>
      <c r="D30" s="328"/>
      <c r="E30" s="329"/>
      <c r="F30" s="334"/>
      <c r="G30" s="140"/>
      <c r="H30" s="982"/>
      <c r="I30" s="982"/>
      <c r="J30" s="982"/>
      <c r="K30" s="983"/>
    </row>
    <row r="31" spans="1:33" s="978" customFormat="1" ht="13.5" customHeight="1" thickBot="1">
      <c r="A31" s="2549"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-42</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4"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171" t="s">
        <v>1403</v>
      </c>
      <c r="C6" s="1297">
        <f ca="1">ROUND(F6*F8*F7*(1-F9)/10000,0)</f>
        <v>0</v>
      </c>
      <c r="D6" s="164" t="s">
        <v>3022</v>
      </c>
      <c r="E6" s="347" t="s">
        <v>1405</v>
      </c>
      <c r="F6" s="348">
        <f ca="1">INDIRECT("'数据-取费表'!u"&amp;$G$1)</f>
        <v>0</v>
      </c>
      <c r="G6" s="1851"/>
      <c r="H6" s="1292" t="s">
        <v>1035</v>
      </c>
      <c r="I6" s="3171" t="s">
        <v>1403</v>
      </c>
      <c r="J6" s="346">
        <f ca="1">ROUND(M6*M8*M7*(1-M9)/10000,0)</f>
        <v>0</v>
      </c>
      <c r="K6" s="164" t="s">
        <v>3021</v>
      </c>
      <c r="L6" s="347" t="s">
        <v>1405</v>
      </c>
      <c r="M6" s="348">
        <f ca="1">INDIRECT("'数据-取费表'!z"&amp;$G$1)</f>
        <v>0</v>
      </c>
    </row>
    <row r="7" spans="1:37" ht="18" customHeight="1">
      <c r="A7" s="1296"/>
      <c r="B7" s="3172"/>
      <c r="C7" s="1298"/>
      <c r="D7" s="352"/>
      <c r="E7" s="1299" t="s">
        <v>1406</v>
      </c>
      <c r="F7" s="348">
        <f ca="1">IF(INDIRECT("'数据-取费表'!ah"&amp;$G$1)="",INDIRECT("'数据-取费表'!k"&amp;$G$1),INDIRECT("'数据-取费表'!ah"&amp;$G$1))</f>
        <v>0</v>
      </c>
      <c r="G7" s="1851"/>
      <c r="H7" s="349"/>
      <c r="I7" s="3172"/>
      <c r="J7" s="351"/>
      <c r="K7" s="352"/>
      <c r="L7" s="347" t="s">
        <v>1406</v>
      </c>
      <c r="M7" s="348">
        <f ca="1">F7</f>
        <v>0</v>
      </c>
    </row>
    <row r="8" spans="1:37" ht="18" customHeight="1">
      <c r="A8" s="349"/>
      <c r="B8" s="3172"/>
      <c r="C8" s="351"/>
      <c r="D8" s="352"/>
      <c r="E8" s="347" t="s">
        <v>1407</v>
      </c>
      <c r="F8" s="348">
        <f ca="1">INDIRECT("'数据-取费表'!ai"&amp;$G$1)</f>
        <v>0</v>
      </c>
      <c r="G8" s="1851"/>
      <c r="H8" s="349"/>
      <c r="I8" s="3172"/>
      <c r="J8" s="351"/>
      <c r="K8" s="352"/>
      <c r="L8" s="347" t="s">
        <v>1407</v>
      </c>
      <c r="M8" s="348">
        <f ca="1">INDIRECT("'数据-取费表'!ai"&amp;$G$1)</f>
        <v>0</v>
      </c>
    </row>
    <row r="9" spans="1:37" ht="18" customHeight="1">
      <c r="A9" s="349"/>
      <c r="B9" s="3173"/>
      <c r="C9" s="351"/>
      <c r="D9" s="352"/>
      <c r="E9" s="347" t="s">
        <v>1408</v>
      </c>
      <c r="F9" s="357">
        <f ca="1">INDIRECT("'数据-取费表'!w"&amp;$G$1)</f>
        <v>0</v>
      </c>
      <c r="G9" s="1851"/>
      <c r="H9" s="349"/>
      <c r="I9" s="3173"/>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3031</v>
      </c>
      <c r="E10" s="358" t="s">
        <v>1410</v>
      </c>
      <c r="F10" s="1367"/>
      <c r="G10" s="1851"/>
      <c r="H10" s="1292" t="s">
        <v>1039</v>
      </c>
      <c r="I10" s="1823" t="s">
        <v>1409</v>
      </c>
      <c r="J10" s="346">
        <f ca="1">ROUND(IF(M10="押一",J6/12*M11,IF(M10="押二",J6/12*2*M11,IF(M10="押三",J6/12*3*M11,J11*M11))),0)</f>
        <v>0</v>
      </c>
      <c r="K10" s="1824" t="s">
        <v>3030</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8"/>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2"/>
      <c r="M14" s="983"/>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5"/>
      <c r="I30" s="746"/>
      <c r="J30" s="747"/>
      <c r="K30" s="748"/>
      <c r="L30" s="749"/>
      <c r="M30" s="750"/>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1433</v>
      </c>
      <c r="C32" s="24">
        <f ca="1">IF(项目基本情况!B11="自然人","——",ROUND(C5*F32/(1+'数据-取费表'!C42),2))</f>
        <v>0</v>
      </c>
      <c r="D32" s="1798" t="s">
        <v>1434</v>
      </c>
      <c r="E32" s="347" t="s">
        <v>1422</v>
      </c>
      <c r="F32" s="377">
        <f>'数据-取费表'!B41</f>
        <v>5.6000000000000001E-2</v>
      </c>
      <c r="G32" s="1851"/>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3</v>
      </c>
      <c r="G34" s="1851"/>
      <c r="H34" s="745"/>
      <c r="I34" s="1860"/>
      <c r="J34" s="1861"/>
      <c r="K34" s="1863"/>
      <c r="L34" s="1864"/>
      <c r="M34" s="1864"/>
    </row>
    <row r="35" spans="1:18" ht="18" customHeight="1">
      <c r="A35" s="1354"/>
      <c r="B35" s="1352"/>
      <c r="C35" s="29"/>
      <c r="D35" s="373"/>
      <c r="E35" s="347" t="s">
        <v>1447</v>
      </c>
      <c r="F35" s="348">
        <f ca="1">INDIRECT("'数据-取费表'!r"&amp;$G$1)</f>
        <v>0</v>
      </c>
      <c r="G35" s="1851"/>
      <c r="H35" s="745"/>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51"/>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51"/>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3023</v>
      </c>
      <c r="E49" s="1830" t="s">
        <v>1491</v>
      </c>
      <c r="F49" s="1282"/>
      <c r="G49" s="1891"/>
      <c r="H49" s="793"/>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6" t="s">
        <v>1137</v>
      </c>
      <c r="B53" s="1831" t="s">
        <v>1409</v>
      </c>
      <c r="C53" s="361">
        <f ca="1">ROUND(IF(F53="押一",C49/12*F11,IF(F53="押二",C49/12*2*F11,IF(F53="押三",C49/12*3*F11,C54*F11))),0)</f>
        <v>0</v>
      </c>
      <c r="D53" s="1824" t="s">
        <v>3030</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169" t="s">
        <v>1548</v>
      </c>
      <c r="L53" s="3170"/>
      <c r="O53" s="1884" t="s">
        <v>1046</v>
      </c>
      <c r="P53" s="1885" t="s">
        <v>1549</v>
      </c>
      <c r="Q53" s="1886" t="e">
        <f ca="1">Q47+Q48</f>
        <v>#DIV/0!</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F18" zoomScale="90" zoomScaleNormal="90" workbookViewId="0">
      <selection activeCell="K39" sqref="K3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375" style="403" customWidth="1"/>
    <col min="6" max="6" width="12.25" style="403" customWidth="1"/>
    <col min="7" max="7" width="16.875" style="403" customWidth="1"/>
    <col min="8" max="8" width="12.25" style="403" customWidth="1"/>
    <col min="9" max="9" width="16"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58" t="s">
        <v>2674</v>
      </c>
      <c r="C1" s="1620" t="s">
        <v>2518</v>
      </c>
      <c r="D1" s="1621" t="s">
        <v>3056</v>
      </c>
      <c r="E1" s="1630"/>
      <c r="F1" s="2573" t="s">
        <v>3059</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f>IF(C2="——",ROUND(C50*D3/10000,0),ROUND(C50*D3/10000,0)-D2)</f>
        <v>6335</v>
      </c>
      <c r="C2" s="2575" t="s">
        <v>70</v>
      </c>
      <c r="D2" s="1366" t="e">
        <f ca="1">SUMIF(INDIRECT("'"&amp;F2&amp;"'"&amp;"!A:A"),"承租人权益价值",INDIRECT("'"&amp;F2&amp;"'"&amp;"!c:c"))</f>
        <v>#REF!</v>
      </c>
      <c r="E2" s="2576" t="s">
        <v>2316</v>
      </c>
      <c r="F2" s="2577"/>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34943</v>
      </c>
      <c r="C3" s="400" t="s">
        <v>2632</v>
      </c>
      <c r="D3" s="399">
        <f>IF(D1="",'数据-汇总表'!E3,SUMIF('数据-汇总表'!$C19:$C33,D1,'数据-汇总表'!$E19:$E33))</f>
        <v>1812.99</v>
      </c>
      <c r="E3" s="2652"/>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2633</v>
      </c>
      <c r="B4" s="402"/>
      <c r="C4" s="3197" t="s">
        <v>2634</v>
      </c>
      <c r="D4" s="3198"/>
      <c r="E4" s="3199" t="s">
        <v>2635</v>
      </c>
      <c r="F4" s="3200"/>
      <c r="G4" s="3197" t="s">
        <v>2636</v>
      </c>
      <c r="H4" s="3198"/>
      <c r="I4" s="3197" t="s">
        <v>2637</v>
      </c>
      <c r="J4" s="3198"/>
      <c r="K4" s="610" t="s">
        <v>2638</v>
      </c>
      <c r="L4" s="1131"/>
      <c r="M4" s="1132"/>
      <c r="N4" s="1132"/>
      <c r="O4" s="1132"/>
      <c r="P4" s="3201" t="s">
        <v>2639</v>
      </c>
      <c r="Q4" s="3202"/>
      <c r="R4" s="3179" t="s">
        <v>2635</v>
      </c>
      <c r="S4" s="3180"/>
      <c r="T4" s="3179" t="s">
        <v>2636</v>
      </c>
      <c r="U4" s="3180"/>
      <c r="V4" s="3209" t="s">
        <v>2637</v>
      </c>
      <c r="W4" s="3209"/>
      <c r="X4" s="2659"/>
      <c r="Y4" s="3179" t="s">
        <v>2639</v>
      </c>
      <c r="Z4" s="3180"/>
      <c r="AA4" s="3174" t="s">
        <v>2635</v>
      </c>
      <c r="AB4" s="3174" t="s">
        <v>2636</v>
      </c>
      <c r="AC4" s="3194" t="s">
        <v>2637</v>
      </c>
    </row>
    <row r="5" spans="1:29" ht="15">
      <c r="A5" s="404"/>
      <c r="B5" s="405"/>
      <c r="C5" s="3185" t="s">
        <v>3060</v>
      </c>
      <c r="D5" s="3186"/>
      <c r="E5" s="3183" t="s">
        <v>3104</v>
      </c>
      <c r="F5" s="3184"/>
      <c r="G5" s="3189" t="str">
        <f>E5</f>
        <v>总部基地</v>
      </c>
      <c r="H5" s="3186"/>
      <c r="I5" s="3189" t="str">
        <f>E5</f>
        <v>总部基地</v>
      </c>
      <c r="J5" s="3186"/>
      <c r="K5" s="610"/>
      <c r="L5" s="1131"/>
      <c r="M5" s="1132"/>
      <c r="N5" s="1132"/>
      <c r="O5" s="1132"/>
      <c r="P5" s="3203"/>
      <c r="Q5" s="3204"/>
      <c r="R5" s="3181"/>
      <c r="S5" s="3182"/>
      <c r="T5" s="3181"/>
      <c r="U5" s="3182"/>
      <c r="V5" s="3210"/>
      <c r="W5" s="3210"/>
      <c r="X5" s="1813"/>
      <c r="Y5" s="3181"/>
      <c r="Z5" s="3182"/>
      <c r="AA5" s="3175"/>
      <c r="AB5" s="3175"/>
      <c r="AC5" s="3195"/>
    </row>
    <row r="6" spans="1:29" ht="15.75" thickBot="1">
      <c r="A6" s="406"/>
      <c r="B6" s="407"/>
      <c r="C6" s="3187" t="s">
        <v>3061</v>
      </c>
      <c r="D6" s="3188"/>
      <c r="E6" s="3190" t="s">
        <v>2534</v>
      </c>
      <c r="F6" s="3191"/>
      <c r="G6" s="3192" t="s">
        <v>2534</v>
      </c>
      <c r="H6" s="3188"/>
      <c r="I6" s="3192" t="s">
        <v>2534</v>
      </c>
      <c r="J6" s="3188"/>
      <c r="K6" s="610" t="s">
        <v>2535</v>
      </c>
      <c r="L6" s="1131"/>
      <c r="M6" s="1132"/>
      <c r="N6" s="1132"/>
      <c r="O6" s="1132"/>
      <c r="P6" s="3205"/>
      <c r="Q6" s="3206"/>
      <c r="R6" s="3181"/>
      <c r="S6" s="3182"/>
      <c r="T6" s="3207"/>
      <c r="U6" s="3208"/>
      <c r="V6" s="3210"/>
      <c r="W6" s="3210"/>
      <c r="X6" s="1813"/>
      <c r="Y6" s="3207"/>
      <c r="Z6" s="3208"/>
      <c r="AA6" s="3176"/>
      <c r="AB6" s="3176"/>
      <c r="AC6" s="3196"/>
    </row>
    <row r="7" spans="1:29" s="117" customFormat="1" ht="15.75" thickBot="1">
      <c r="A7" s="408" t="s">
        <v>2536</v>
      </c>
      <c r="B7" s="409"/>
      <c r="C7" s="410">
        <f>'数据-取费表'!B2</f>
        <v>43293</v>
      </c>
      <c r="D7" s="411">
        <v>100</v>
      </c>
      <c r="E7" s="412">
        <v>43291</v>
      </c>
      <c r="F7" s="413">
        <f>SUMIF(59:59,YEAR(E7)&amp;"-"&amp;MONTH(E7),60:60)</f>
        <v>100</v>
      </c>
      <c r="G7" s="412">
        <v>43241</v>
      </c>
      <c r="H7" s="411">
        <f>SUMIF(59:59,YEAR(G7)&amp;"-"&amp;MONTH(G7),60:60)</f>
        <v>100</v>
      </c>
      <c r="I7" s="412">
        <v>43271</v>
      </c>
      <c r="J7" s="411">
        <f>SUMIF(59:59,YEAR(I7)&amp;"-"&amp;MONTH(I7),60:60)</f>
        <v>100</v>
      </c>
      <c r="K7" s="611"/>
      <c r="L7" s="1133"/>
      <c r="M7" s="1134"/>
      <c r="N7" s="1134"/>
      <c r="O7" s="1134"/>
      <c r="P7" s="3211" t="s">
        <v>2537</v>
      </c>
      <c r="Q7" s="3212"/>
      <c r="R7" s="770" t="s">
        <v>17</v>
      </c>
      <c r="S7" s="771">
        <f t="shared" ref="S7:S15" si="0">F7</f>
        <v>100</v>
      </c>
      <c r="T7" s="770" t="s">
        <v>17</v>
      </c>
      <c r="U7" s="771">
        <f t="shared" ref="U7:U15" si="1">H7</f>
        <v>100</v>
      </c>
      <c r="V7" s="770" t="s">
        <v>17</v>
      </c>
      <c r="W7" s="771">
        <f t="shared" ref="W7:W15" si="2">J7</f>
        <v>100</v>
      </c>
      <c r="X7" s="772"/>
      <c r="Y7" s="3177" t="s">
        <v>2537</v>
      </c>
      <c r="Z7" s="3178"/>
      <c r="AA7" s="773">
        <f>D7/F7</f>
        <v>1</v>
      </c>
      <c r="AB7" s="773">
        <f>D7/H7</f>
        <v>1</v>
      </c>
      <c r="AC7" s="2660">
        <f>D7/J7</f>
        <v>1</v>
      </c>
    </row>
    <row r="8" spans="1:29" s="117" customFormat="1" ht="15.75" thickBot="1">
      <c r="A8" s="408" t="s">
        <v>2538</v>
      </c>
      <c r="B8" s="409"/>
      <c r="C8" s="414" t="s">
        <v>2640</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211" t="s">
        <v>2540</v>
      </c>
      <c r="Q8" s="3178"/>
      <c r="R8" s="770" t="s">
        <v>17</v>
      </c>
      <c r="S8" s="771">
        <f t="shared" si="0"/>
        <v>100</v>
      </c>
      <c r="T8" s="770" t="s">
        <v>17</v>
      </c>
      <c r="U8" s="771">
        <f t="shared" si="1"/>
        <v>100</v>
      </c>
      <c r="V8" s="770" t="s">
        <v>17</v>
      </c>
      <c r="W8" s="771">
        <f t="shared" si="2"/>
        <v>100</v>
      </c>
      <c r="X8" s="772"/>
      <c r="Y8" s="3177" t="s">
        <v>2540</v>
      </c>
      <c r="Z8" s="3178"/>
      <c r="AA8" s="773">
        <f t="shared" ref="AA8:AA47" si="3">D8/F8</f>
        <v>1</v>
      </c>
      <c r="AB8" s="773">
        <f t="shared" ref="AB8:AB47" si="4">D8/H8</f>
        <v>1</v>
      </c>
      <c r="AC8" s="2660">
        <f t="shared" ref="AC8:AC47" si="5">D8/J8</f>
        <v>1</v>
      </c>
    </row>
    <row r="9" spans="1:29" s="117" customFormat="1">
      <c r="A9" s="415" t="s">
        <v>2541</v>
      </c>
      <c r="B9" s="71" t="s">
        <v>2542</v>
      </c>
      <c r="C9" s="2944" t="s">
        <v>3062</v>
      </c>
      <c r="D9" s="135">
        <v>100</v>
      </c>
      <c r="E9" s="419" t="s">
        <v>6</v>
      </c>
      <c r="F9" s="135">
        <f>SUMIF(64:64,E9,65:65)-SUMIF(64:64,C9,65:65)+100</f>
        <v>100</v>
      </c>
      <c r="G9" s="417" t="s">
        <v>6</v>
      </c>
      <c r="H9" s="135">
        <f>SUMIF(64:64,G9,65:65)-SUMIF(64:64,C9,65:65)+100</f>
        <v>100</v>
      </c>
      <c r="I9" s="417" t="s">
        <v>6</v>
      </c>
      <c r="J9" s="135">
        <f>SUMIF(64:64,I9,65:65)-SUMIF(64:64,C9,65:65)+100</f>
        <v>100</v>
      </c>
      <c r="K9" s="611"/>
      <c r="L9" s="1133"/>
      <c r="M9" s="1134"/>
      <c r="N9" s="1134"/>
      <c r="O9" s="1134"/>
      <c r="P9" s="3193" t="s">
        <v>2543</v>
      </c>
      <c r="Q9" s="1795" t="str">
        <f t="shared" ref="Q9:Q15" si="6">B9</f>
        <v>用途</v>
      </c>
      <c r="R9" s="770" t="s">
        <v>17</v>
      </c>
      <c r="S9" s="771">
        <f t="shared" si="0"/>
        <v>100</v>
      </c>
      <c r="T9" s="770" t="s">
        <v>17</v>
      </c>
      <c r="U9" s="771">
        <f t="shared" si="1"/>
        <v>100</v>
      </c>
      <c r="V9" s="770" t="s">
        <v>17</v>
      </c>
      <c r="W9" s="771">
        <f t="shared" si="2"/>
        <v>100</v>
      </c>
      <c r="X9" s="772"/>
      <c r="Y9" s="3046" t="s">
        <v>2544</v>
      </c>
      <c r="Z9" s="55" t="str">
        <f t="shared" ref="Z9:Z15" si="7">Q9</f>
        <v>用途</v>
      </c>
      <c r="AA9" s="773">
        <f t="shared" si="3"/>
        <v>1</v>
      </c>
      <c r="AB9" s="773">
        <f t="shared" si="4"/>
        <v>1</v>
      </c>
      <c r="AC9" s="2660">
        <f t="shared" si="5"/>
        <v>1</v>
      </c>
    </row>
    <row r="10" spans="1:29" s="427" customFormat="1" ht="27.75" thickBot="1">
      <c r="A10" s="421"/>
      <c r="B10" s="422" t="s">
        <v>2545</v>
      </c>
      <c r="C10" s="423" t="s">
        <v>3064</v>
      </c>
      <c r="D10" s="136">
        <v>100</v>
      </c>
      <c r="E10" s="423" t="s">
        <v>3064</v>
      </c>
      <c r="F10" s="136">
        <f>SUMIF(66:66,E10,67:67)-SUMIF(66:66,C10,67:67)+100</f>
        <v>100</v>
      </c>
      <c r="G10" s="424" t="s">
        <v>3064</v>
      </c>
      <c r="H10" s="136">
        <f>SUMIF(66:66,G10,67:67)-SUMIF(66:66,C10,67:67)+100</f>
        <v>100</v>
      </c>
      <c r="I10" s="423" t="s">
        <v>3064</v>
      </c>
      <c r="J10" s="136">
        <f>SUMIF(66:66,I10,67:67)-SUMIF(66:66,C10,67:67)+100</f>
        <v>100</v>
      </c>
      <c r="K10" s="612">
        <v>2</v>
      </c>
      <c r="L10" s="1136"/>
      <c r="M10" s="1137"/>
      <c r="N10" s="1137"/>
      <c r="O10" s="1137"/>
      <c r="P10" s="3193"/>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60">
        <f t="shared" si="5"/>
        <v>1</v>
      </c>
    </row>
    <row r="11" spans="1:29" ht="15" hidden="1">
      <c r="A11" s="428"/>
      <c r="B11" s="422"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39"/>
      <c r="M11" s="1132"/>
      <c r="N11" s="1132"/>
      <c r="O11" s="1132"/>
      <c r="P11" s="3193"/>
      <c r="Q11" s="1795"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2660">
        <f t="shared" si="5"/>
        <v>1</v>
      </c>
    </row>
    <row r="12" spans="1:29" s="117" customFormat="1" ht="15" hidden="1">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3"/>
      <c r="M12" s="1134"/>
      <c r="N12" s="1134"/>
      <c r="O12" s="1134"/>
      <c r="P12" s="3193"/>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60">
        <f>D12/J12</f>
        <v>1</v>
      </c>
    </row>
    <row r="13" spans="1:29" ht="15" hidden="1">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41"/>
      <c r="M13" s="1132"/>
      <c r="N13" s="1132"/>
      <c r="O13" s="1132"/>
      <c r="P13" s="3193"/>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60">
        <f t="shared" si="5"/>
        <v>1</v>
      </c>
    </row>
    <row r="14" spans="1:29" ht="15.75" hidden="1"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41"/>
      <c r="M14" s="1132"/>
      <c r="N14" s="1132"/>
      <c r="O14" s="1132"/>
      <c r="P14" s="3193"/>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60">
        <f t="shared" si="5"/>
        <v>1</v>
      </c>
    </row>
    <row r="15" spans="1:29" ht="103.5" customHeight="1">
      <c r="A15" s="440" t="s">
        <v>2547</v>
      </c>
      <c r="B15" s="629" t="s">
        <v>2675</v>
      </c>
      <c r="C15" s="2662"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13" t="s">
        <v>2548</v>
      </c>
      <c r="Q15" s="1810" t="str">
        <f t="shared" si="6"/>
        <v>办公集聚程度</v>
      </c>
      <c r="R15" s="774" t="s">
        <v>17</v>
      </c>
      <c r="S15" s="775">
        <f t="shared" si="0"/>
        <v>100</v>
      </c>
      <c r="T15" s="774" t="s">
        <v>17</v>
      </c>
      <c r="U15" s="775">
        <f t="shared" si="1"/>
        <v>100</v>
      </c>
      <c r="V15" s="774" t="s">
        <v>17</v>
      </c>
      <c r="W15" s="775">
        <f t="shared" si="2"/>
        <v>100</v>
      </c>
      <c r="X15" s="1813"/>
      <c r="Y15" s="3215" t="s">
        <v>2548</v>
      </c>
      <c r="Z15" s="1814" t="str">
        <f t="shared" si="7"/>
        <v>办公集聚程度</v>
      </c>
      <c r="AA15" s="1811">
        <f t="shared" si="3"/>
        <v>1</v>
      </c>
      <c r="AB15" s="1811">
        <f t="shared" si="4"/>
        <v>1</v>
      </c>
      <c r="AC15" s="2663">
        <f t="shared" si="5"/>
        <v>1</v>
      </c>
    </row>
    <row r="16" spans="1:29" ht="15">
      <c r="A16" s="428"/>
      <c r="B16" s="630"/>
      <c r="C16" s="2600" t="s">
        <v>3077</v>
      </c>
      <c r="D16" s="448"/>
      <c r="E16" s="447" t="s">
        <v>3077</v>
      </c>
      <c r="F16" s="448"/>
      <c r="G16" s="2600" t="s">
        <v>3077</v>
      </c>
      <c r="H16" s="450"/>
      <c r="I16" s="447" t="s">
        <v>3077</v>
      </c>
      <c r="J16" s="448"/>
      <c r="K16" s="615"/>
      <c r="L16" s="1141"/>
      <c r="M16" s="1132"/>
      <c r="N16" s="1132"/>
      <c r="O16" s="1132"/>
      <c r="P16" s="3214"/>
      <c r="Q16" s="1810"/>
      <c r="R16" s="774"/>
      <c r="S16" s="775"/>
      <c r="T16" s="774"/>
      <c r="U16" s="775"/>
      <c r="V16" s="774"/>
      <c r="W16" s="775"/>
      <c r="X16" s="1813"/>
      <c r="Y16" s="3216"/>
      <c r="Z16" s="1814"/>
      <c r="AA16" s="1811">
        <v>1</v>
      </c>
      <c r="AB16" s="1811">
        <v>1</v>
      </c>
      <c r="AC16" s="2663">
        <v>1</v>
      </c>
    </row>
    <row r="17" spans="1:29" ht="117.75" customHeight="1">
      <c r="A17" s="428"/>
      <c r="B17" s="631" t="s">
        <v>2089</v>
      </c>
      <c r="C17" s="2664"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14"/>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2663">
        <f t="shared" si="5"/>
        <v>1</v>
      </c>
    </row>
    <row r="18" spans="1:29" ht="15">
      <c r="A18" s="428"/>
      <c r="B18" s="632"/>
      <c r="C18" s="2665" t="s">
        <v>3077</v>
      </c>
      <c r="D18" s="450"/>
      <c r="E18" s="2598" t="s">
        <v>3077</v>
      </c>
      <c r="F18" s="450"/>
      <c r="G18" s="2599" t="s">
        <v>3077</v>
      </c>
      <c r="H18" s="448"/>
      <c r="I18" s="2599" t="s">
        <v>3077</v>
      </c>
      <c r="J18" s="448"/>
      <c r="K18" s="615"/>
      <c r="L18" s="1141"/>
      <c r="M18" s="1132"/>
      <c r="N18" s="1132"/>
      <c r="O18" s="1132"/>
      <c r="P18" s="3214"/>
      <c r="Q18" s="1810"/>
      <c r="R18" s="774"/>
      <c r="S18" s="775"/>
      <c r="T18" s="774"/>
      <c r="U18" s="775"/>
      <c r="V18" s="774"/>
      <c r="W18" s="775"/>
      <c r="X18" s="1813"/>
      <c r="Y18" s="3216"/>
      <c r="Z18" s="1814"/>
      <c r="AA18" s="1811">
        <v>1</v>
      </c>
      <c r="AB18" s="1811">
        <v>1</v>
      </c>
      <c r="AC18" s="2663">
        <v>1</v>
      </c>
    </row>
    <row r="19" spans="1:29" ht="87.75" customHeight="1">
      <c r="A19" s="428"/>
      <c r="B19" s="631" t="s">
        <v>2676</v>
      </c>
      <c r="C19" s="2664"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14"/>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2663">
        <f t="shared" si="5"/>
        <v>1</v>
      </c>
    </row>
    <row r="20" spans="1:29" ht="15">
      <c r="A20" s="428"/>
      <c r="B20" s="632"/>
      <c r="C20" s="2600" t="s">
        <v>3077</v>
      </c>
      <c r="D20" s="448"/>
      <c r="E20" s="2593" t="s">
        <v>3077</v>
      </c>
      <c r="F20" s="448"/>
      <c r="G20" s="2594" t="s">
        <v>3077</v>
      </c>
      <c r="H20" s="448"/>
      <c r="I20" s="2594" t="s">
        <v>3077</v>
      </c>
      <c r="J20" s="448"/>
      <c r="K20" s="615"/>
      <c r="L20" s="1141"/>
      <c r="M20" s="1132"/>
      <c r="N20" s="1132"/>
      <c r="O20" s="1132"/>
      <c r="P20" s="3214"/>
      <c r="Q20" s="1810"/>
      <c r="R20" s="774"/>
      <c r="S20" s="775"/>
      <c r="T20" s="774"/>
      <c r="U20" s="775"/>
      <c r="V20" s="774"/>
      <c r="W20" s="775"/>
      <c r="X20" s="1813"/>
      <c r="Y20" s="3216"/>
      <c r="Z20" s="1814"/>
      <c r="AA20" s="1811">
        <v>1</v>
      </c>
      <c r="AB20" s="1811">
        <v>1</v>
      </c>
      <c r="AC20" s="2663">
        <v>1</v>
      </c>
    </row>
    <row r="21" spans="1:29" ht="28.5">
      <c r="A21" s="428"/>
      <c r="B21" s="633" t="s">
        <v>2677</v>
      </c>
      <c r="C21" s="2664"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214"/>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2663">
        <f t="shared" ref="AC21" si="10">D21/J21</f>
        <v>1</v>
      </c>
    </row>
    <row r="22" spans="1:29" ht="15">
      <c r="A22" s="428"/>
      <c r="B22" s="633"/>
      <c r="C22" s="2665" t="s">
        <v>3078</v>
      </c>
      <c r="D22" s="448"/>
      <c r="E22" s="447" t="s">
        <v>3078</v>
      </c>
      <c r="F22" s="448"/>
      <c r="G22" s="447" t="s">
        <v>3078</v>
      </c>
      <c r="H22" s="448"/>
      <c r="I22" s="447" t="s">
        <v>3078</v>
      </c>
      <c r="J22" s="448"/>
      <c r="K22" s="1384"/>
      <c r="L22" s="1141"/>
      <c r="M22" s="1132"/>
      <c r="N22" s="1132"/>
      <c r="O22" s="1132"/>
      <c r="P22" s="3214"/>
      <c r="Q22" s="1810"/>
      <c r="R22" s="774"/>
      <c r="S22" s="775"/>
      <c r="T22" s="774"/>
      <c r="U22" s="775"/>
      <c r="V22" s="774"/>
      <c r="W22" s="775"/>
      <c r="X22" s="1813"/>
      <c r="Y22" s="3216"/>
      <c r="Z22" s="1814"/>
      <c r="AA22" s="1811">
        <v>1</v>
      </c>
      <c r="AB22" s="1811">
        <v>1</v>
      </c>
      <c r="AC22" s="2663">
        <v>1</v>
      </c>
    </row>
    <row r="23" spans="1:29" ht="74.25" customHeight="1">
      <c r="A23" s="428"/>
      <c r="B23" s="631" t="s">
        <v>2678</v>
      </c>
      <c r="C23" s="2664"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14"/>
      <c r="Q23" s="1810" t="str">
        <f>B23</f>
        <v>环境质量</v>
      </c>
      <c r="R23" s="774" t="s">
        <v>17</v>
      </c>
      <c r="S23" s="775">
        <f>F23</f>
        <v>100</v>
      </c>
      <c r="T23" s="774" t="s">
        <v>17</v>
      </c>
      <c r="U23" s="775">
        <f>H23</f>
        <v>100</v>
      </c>
      <c r="V23" s="774" t="s">
        <v>17</v>
      </c>
      <c r="W23" s="775">
        <f>J23</f>
        <v>100</v>
      </c>
      <c r="X23" s="1813"/>
      <c r="Y23" s="3216"/>
      <c r="Z23" s="1814" t="str">
        <f>Q23</f>
        <v>环境质量</v>
      </c>
      <c r="AA23" s="1811">
        <f t="shared" si="3"/>
        <v>1</v>
      </c>
      <c r="AB23" s="1811">
        <f t="shared" si="4"/>
        <v>1</v>
      </c>
      <c r="AC23" s="2663">
        <f t="shared" si="5"/>
        <v>1</v>
      </c>
    </row>
    <row r="24" spans="1:29" ht="15">
      <c r="A24" s="428"/>
      <c r="B24" s="633"/>
      <c r="C24" s="2600" t="s">
        <v>3118</v>
      </c>
      <c r="D24" s="448"/>
      <c r="E24" s="2593" t="s">
        <v>3118</v>
      </c>
      <c r="F24" s="448"/>
      <c r="G24" s="2594" t="s">
        <v>3118</v>
      </c>
      <c r="H24" s="448"/>
      <c r="I24" s="2594" t="s">
        <v>3118</v>
      </c>
      <c r="J24" s="448"/>
      <c r="K24" s="615"/>
      <c r="L24" s="1141"/>
      <c r="M24" s="1132"/>
      <c r="N24" s="1132"/>
      <c r="O24" s="1132"/>
      <c r="P24" s="3214"/>
      <c r="Q24" s="1810"/>
      <c r="R24" s="774"/>
      <c r="S24" s="775"/>
      <c r="T24" s="774"/>
      <c r="U24" s="775"/>
      <c r="V24" s="774"/>
      <c r="W24" s="775"/>
      <c r="X24" s="1813"/>
      <c r="Y24" s="3216"/>
      <c r="Z24" s="1814"/>
      <c r="AA24" s="1811">
        <v>1</v>
      </c>
      <c r="AB24" s="1811">
        <v>1</v>
      </c>
      <c r="AC24" s="2663">
        <v>1</v>
      </c>
    </row>
    <row r="25" spans="1:29" ht="27">
      <c r="A25" s="404"/>
      <c r="B25" s="631" t="s">
        <v>2679</v>
      </c>
      <c r="C25" s="2945" t="s">
        <v>3117</v>
      </c>
      <c r="D25" s="435">
        <v>100</v>
      </c>
      <c r="E25" s="2946" t="s">
        <v>3120</v>
      </c>
      <c r="F25" s="435">
        <f>SUMIF(87:87,E26,88:88)-SUMIF(87:87,C26,88:88)+100</f>
        <v>100</v>
      </c>
      <c r="G25" s="2946" t="s">
        <v>3120</v>
      </c>
      <c r="H25" s="435">
        <f>SUMIF(87:87,G26,88:88)-SUMIF(87:87,C26,88:88)+100</f>
        <v>100</v>
      </c>
      <c r="I25" s="2946" t="s">
        <v>3120</v>
      </c>
      <c r="J25" s="435">
        <f>SUMIF(87:87,I26,88:88)-SUMIF(87:87,C26,88:88)+100</f>
        <v>100</v>
      </c>
      <c r="K25" s="614">
        <v>2</v>
      </c>
      <c r="L25" s="1141"/>
      <c r="M25" s="1132"/>
      <c r="N25" s="1132"/>
      <c r="O25" s="1132"/>
      <c r="P25" s="3214"/>
      <c r="Q25" s="1810" t="str">
        <f>B25</f>
        <v>毗邻道路的类型与等级</v>
      </c>
      <c r="R25" s="774" t="s">
        <v>17</v>
      </c>
      <c r="S25" s="775">
        <f>F25</f>
        <v>100</v>
      </c>
      <c r="T25" s="774" t="s">
        <v>17</v>
      </c>
      <c r="U25" s="775">
        <f>H25</f>
        <v>100</v>
      </c>
      <c r="V25" s="774" t="s">
        <v>17</v>
      </c>
      <c r="W25" s="775">
        <f>J25</f>
        <v>100</v>
      </c>
      <c r="X25" s="1813"/>
      <c r="Y25" s="3216"/>
      <c r="Z25" s="1814" t="str">
        <f>Q25</f>
        <v>毗邻道路的类型与等级</v>
      </c>
      <c r="AA25" s="1811">
        <f t="shared" si="3"/>
        <v>1</v>
      </c>
      <c r="AB25" s="1811">
        <f t="shared" si="4"/>
        <v>1</v>
      </c>
      <c r="AC25" s="2663">
        <f t="shared" si="5"/>
        <v>1</v>
      </c>
    </row>
    <row r="26" spans="1:29" ht="15">
      <c r="A26" s="404"/>
      <c r="B26" s="632"/>
      <c r="C26" s="634" t="s">
        <v>3074</v>
      </c>
      <c r="D26" s="435"/>
      <c r="E26" s="616" t="s">
        <v>3074</v>
      </c>
      <c r="F26" s="435"/>
      <c r="G26" s="634" t="s">
        <v>3074</v>
      </c>
      <c r="H26" s="435"/>
      <c r="I26" s="616" t="s">
        <v>3074</v>
      </c>
      <c r="J26" s="435"/>
      <c r="K26" s="615"/>
      <c r="L26" s="1141"/>
      <c r="M26" s="1132"/>
      <c r="N26" s="1132"/>
      <c r="O26" s="1132"/>
      <c r="P26" s="3214"/>
      <c r="Q26" s="1810"/>
      <c r="R26" s="774"/>
      <c r="S26" s="775"/>
      <c r="T26" s="774"/>
      <c r="U26" s="775"/>
      <c r="V26" s="774"/>
      <c r="W26" s="775"/>
      <c r="X26" s="1813"/>
      <c r="Y26" s="3216"/>
      <c r="Z26" s="1814"/>
      <c r="AA26" s="1811">
        <v>1</v>
      </c>
      <c r="AB26" s="1811">
        <v>1</v>
      </c>
      <c r="AC26" s="2663">
        <v>1</v>
      </c>
    </row>
    <row r="27" spans="1:29" ht="15.75" thickBot="1">
      <c r="A27" s="428"/>
      <c r="B27" s="632" t="s">
        <v>2647</v>
      </c>
      <c r="C27" s="634" t="s">
        <v>3084</v>
      </c>
      <c r="D27" s="435">
        <v>100</v>
      </c>
      <c r="E27" s="616" t="s">
        <v>3084</v>
      </c>
      <c r="F27" s="435">
        <f>SUMIF(89:89,E27,90:90)-SUMIF(89:89,C27,90:90)+100</f>
        <v>100</v>
      </c>
      <c r="G27" s="634" t="s">
        <v>3084</v>
      </c>
      <c r="H27" s="435">
        <f>SUMIF(89:89,G27,90:90)-SUMIF(89:89,C27,90:90)+100</f>
        <v>100</v>
      </c>
      <c r="I27" s="616" t="s">
        <v>3084</v>
      </c>
      <c r="J27" s="435">
        <f>SUMIF(89:89,I27,90:90)-SUMIF(89:89,C27,90:90)+100</f>
        <v>100</v>
      </c>
      <c r="K27" s="612">
        <v>2</v>
      </c>
      <c r="L27" s="1141"/>
      <c r="M27" s="1132"/>
      <c r="N27" s="1132"/>
      <c r="O27" s="1132"/>
      <c r="P27" s="3214"/>
      <c r="Q27" s="1810" t="str">
        <f t="shared" ref="Q27:Q47" si="11">B27</f>
        <v>楼层</v>
      </c>
      <c r="R27" s="774" t="s">
        <v>17</v>
      </c>
      <c r="S27" s="775">
        <f>F27</f>
        <v>100</v>
      </c>
      <c r="T27" s="774" t="s">
        <v>17</v>
      </c>
      <c r="U27" s="775">
        <f>H27</f>
        <v>100</v>
      </c>
      <c r="V27" s="774" t="s">
        <v>17</v>
      </c>
      <c r="W27" s="775">
        <f>J27</f>
        <v>100</v>
      </c>
      <c r="X27" s="1813"/>
      <c r="Y27" s="3216"/>
      <c r="Z27" s="1814" t="str">
        <f>Q27</f>
        <v>楼层</v>
      </c>
      <c r="AA27" s="1811">
        <f t="shared" si="3"/>
        <v>1</v>
      </c>
      <c r="AB27" s="1811">
        <f t="shared" si="4"/>
        <v>1</v>
      </c>
      <c r="AC27" s="2663">
        <f t="shared" si="5"/>
        <v>1</v>
      </c>
    </row>
    <row r="28" spans="1:29" s="117" customFormat="1" ht="15" hidden="1">
      <c r="A28" s="431"/>
      <c r="B28" s="631" t="s">
        <v>2680</v>
      </c>
      <c r="C28" s="2666"/>
      <c r="D28" s="462">
        <v>100</v>
      </c>
      <c r="E28" s="2654"/>
      <c r="F28" s="462">
        <f>SUMIF(91:91,E28,92:92)-SUMIF(91:91,C28,92:92)+100</f>
        <v>100</v>
      </c>
      <c r="G28" s="2666"/>
      <c r="H28" s="462">
        <f>SUMIF(91:91,G28,92:92)-SUMIF(91:91,C28,92:92)+100</f>
        <v>100</v>
      </c>
      <c r="I28" s="2654"/>
      <c r="J28" s="462">
        <f>SUMIF(91:91,I28,92:92)-SUMIF(91:91,C28,92:92)+100</f>
        <v>100</v>
      </c>
      <c r="K28" s="612"/>
      <c r="L28" s="1133"/>
      <c r="M28" s="1134"/>
      <c r="N28" s="1134"/>
      <c r="O28" s="1134"/>
      <c r="P28" s="3214"/>
      <c r="Q28" s="1795" t="str">
        <f t="shared" si="11"/>
        <v>朝向</v>
      </c>
      <c r="R28" s="770" t="s">
        <v>17</v>
      </c>
      <c r="S28" s="771">
        <f>F28</f>
        <v>100</v>
      </c>
      <c r="T28" s="770" t="s">
        <v>17</v>
      </c>
      <c r="U28" s="771">
        <f>H28</f>
        <v>100</v>
      </c>
      <c r="V28" s="770" t="s">
        <v>17</v>
      </c>
      <c r="W28" s="771">
        <f>J28</f>
        <v>100</v>
      </c>
      <c r="X28" s="772"/>
      <c r="Y28" s="3216"/>
      <c r="Z28" s="55" t="str">
        <f>Q28</f>
        <v>朝向</v>
      </c>
      <c r="AA28" s="1811">
        <f>D28/F28</f>
        <v>1</v>
      </c>
      <c r="AB28" s="1811">
        <f>D28/H28</f>
        <v>1</v>
      </c>
      <c r="AC28" s="2663">
        <f>D28/J28</f>
        <v>1</v>
      </c>
    </row>
    <row r="29" spans="1:29" ht="15" hidden="1">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41"/>
      <c r="M29" s="1132"/>
      <c r="N29" s="1132"/>
      <c r="O29" s="1132"/>
      <c r="P29" s="3214"/>
      <c r="Q29" s="1810">
        <f t="shared" si="11"/>
        <v>111</v>
      </c>
      <c r="R29" s="774" t="s">
        <v>17</v>
      </c>
      <c r="S29" s="775">
        <f t="shared" ref="S29:S47" si="12">F29</f>
        <v>100</v>
      </c>
      <c r="T29" s="774" t="s">
        <v>17</v>
      </c>
      <c r="U29" s="775">
        <f t="shared" ref="U29:U47" si="13">H29</f>
        <v>100</v>
      </c>
      <c r="V29" s="774" t="s">
        <v>17</v>
      </c>
      <c r="W29" s="775">
        <f t="shared" ref="W29:W47" si="14">J29</f>
        <v>100</v>
      </c>
      <c r="X29" s="1813"/>
      <c r="Y29" s="3216"/>
      <c r="Z29" s="1814">
        <f t="shared" ref="Z29:Z47" si="15">Q29</f>
        <v>111</v>
      </c>
      <c r="AA29" s="1811">
        <f t="shared" si="3"/>
        <v>1</v>
      </c>
      <c r="AB29" s="1811">
        <f t="shared" si="4"/>
        <v>1</v>
      </c>
      <c r="AC29" s="2663">
        <f t="shared" si="5"/>
        <v>1</v>
      </c>
    </row>
    <row r="30" spans="1:29" ht="15" hidden="1">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41"/>
      <c r="M30" s="1132"/>
      <c r="N30" s="1132"/>
      <c r="O30" s="1132"/>
      <c r="P30" s="3214"/>
      <c r="Q30" s="1810">
        <f t="shared" si="11"/>
        <v>111</v>
      </c>
      <c r="R30" s="774" t="s">
        <v>17</v>
      </c>
      <c r="S30" s="775">
        <f t="shared" si="12"/>
        <v>100</v>
      </c>
      <c r="T30" s="774" t="s">
        <v>17</v>
      </c>
      <c r="U30" s="775">
        <f t="shared" si="13"/>
        <v>100</v>
      </c>
      <c r="V30" s="774" t="s">
        <v>17</v>
      </c>
      <c r="W30" s="775">
        <f t="shared" si="14"/>
        <v>100</v>
      </c>
      <c r="X30" s="1813"/>
      <c r="Y30" s="3216"/>
      <c r="Z30" s="1814">
        <f t="shared" si="15"/>
        <v>111</v>
      </c>
      <c r="AA30" s="1811">
        <f t="shared" si="3"/>
        <v>1</v>
      </c>
      <c r="AB30" s="1811">
        <f t="shared" si="4"/>
        <v>1</v>
      </c>
      <c r="AC30" s="2663">
        <f t="shared" si="5"/>
        <v>1</v>
      </c>
    </row>
    <row r="31" spans="1:29" ht="15" hidden="1">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41"/>
      <c r="M31" s="1132"/>
      <c r="N31" s="1132"/>
      <c r="O31" s="1132"/>
      <c r="P31" s="3214"/>
      <c r="Q31" s="1810">
        <f t="shared" si="11"/>
        <v>111</v>
      </c>
      <c r="R31" s="774" t="s">
        <v>17</v>
      </c>
      <c r="S31" s="775">
        <f t="shared" si="12"/>
        <v>100</v>
      </c>
      <c r="T31" s="774" t="s">
        <v>17</v>
      </c>
      <c r="U31" s="775">
        <f t="shared" si="13"/>
        <v>100</v>
      </c>
      <c r="V31" s="774" t="s">
        <v>17</v>
      </c>
      <c r="W31" s="775">
        <f t="shared" si="14"/>
        <v>100</v>
      </c>
      <c r="X31" s="1813"/>
      <c r="Y31" s="3216"/>
      <c r="Z31" s="1814">
        <f t="shared" si="15"/>
        <v>111</v>
      </c>
      <c r="AA31" s="1811">
        <f t="shared" si="3"/>
        <v>1</v>
      </c>
      <c r="AB31" s="1811">
        <f t="shared" si="4"/>
        <v>1</v>
      </c>
      <c r="AC31" s="2663">
        <f t="shared" si="5"/>
        <v>1</v>
      </c>
    </row>
    <row r="32" spans="1:29" ht="15.75" hidden="1"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41"/>
      <c r="M32" s="1132"/>
      <c r="N32" s="1132"/>
      <c r="O32" s="1132"/>
      <c r="P32" s="3214"/>
      <c r="Q32" s="1810">
        <f t="shared" si="11"/>
        <v>111</v>
      </c>
      <c r="R32" s="774" t="s">
        <v>17</v>
      </c>
      <c r="S32" s="775">
        <f t="shared" si="12"/>
        <v>100</v>
      </c>
      <c r="T32" s="774" t="s">
        <v>17</v>
      </c>
      <c r="U32" s="775">
        <f t="shared" si="13"/>
        <v>100</v>
      </c>
      <c r="V32" s="774" t="s">
        <v>17</v>
      </c>
      <c r="W32" s="775">
        <f t="shared" si="14"/>
        <v>100</v>
      </c>
      <c r="X32" s="1813"/>
      <c r="Y32" s="3216"/>
      <c r="Z32" s="1814">
        <f t="shared" si="15"/>
        <v>111</v>
      </c>
      <c r="AA32" s="1811">
        <f t="shared" si="3"/>
        <v>1</v>
      </c>
      <c r="AB32" s="1811">
        <f t="shared" si="4"/>
        <v>1</v>
      </c>
      <c r="AC32" s="2663">
        <f t="shared" si="5"/>
        <v>1</v>
      </c>
    </row>
    <row r="33" spans="1:29" ht="15">
      <c r="A33" s="440" t="s">
        <v>2551</v>
      </c>
      <c r="B33" s="71" t="s">
        <v>2681</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v>2</v>
      </c>
      <c r="L33" s="1141"/>
      <c r="M33" s="1132"/>
      <c r="N33" s="1132"/>
      <c r="O33" s="1132"/>
      <c r="P33" s="3217" t="s">
        <v>2553</v>
      </c>
      <c r="Q33" s="1810" t="str">
        <f t="shared" si="11"/>
        <v>建筑类型</v>
      </c>
      <c r="R33" s="774" t="s">
        <v>17</v>
      </c>
      <c r="S33" s="775">
        <f t="shared" si="12"/>
        <v>100</v>
      </c>
      <c r="T33" s="774" t="s">
        <v>17</v>
      </c>
      <c r="U33" s="775">
        <f t="shared" si="13"/>
        <v>100</v>
      </c>
      <c r="V33" s="774" t="s">
        <v>17</v>
      </c>
      <c r="W33" s="775">
        <f t="shared" si="14"/>
        <v>100</v>
      </c>
      <c r="X33" s="1813"/>
      <c r="Y33" s="3220" t="s">
        <v>2553</v>
      </c>
      <c r="Z33" s="1814" t="str">
        <f t="shared" si="15"/>
        <v>建筑类型</v>
      </c>
      <c r="AA33" s="1811">
        <f t="shared" si="3"/>
        <v>1</v>
      </c>
      <c r="AB33" s="1811">
        <f t="shared" si="4"/>
        <v>1</v>
      </c>
      <c r="AC33" s="2663">
        <f t="shared" si="5"/>
        <v>1</v>
      </c>
    </row>
    <row r="34" spans="1:29" s="471" customFormat="1" ht="15">
      <c r="A34" s="468"/>
      <c r="B34" s="422" t="s">
        <v>2554</v>
      </c>
      <c r="C34" s="469">
        <f>'数据-基础表'!B3</f>
        <v>1812.99</v>
      </c>
      <c r="D34" s="136">
        <v>100</v>
      </c>
      <c r="E34" s="430">
        <f>Sheet1!I5</f>
        <v>1642.8</v>
      </c>
      <c r="F34" s="425">
        <f>LOOKUP(E34,104:104,105:105)-LOOKUP(C34,104:104,105:105)+100</f>
        <v>100</v>
      </c>
      <c r="G34" s="429">
        <f>Sheet1!S5</f>
        <v>2160</v>
      </c>
      <c r="H34" s="136">
        <f>LOOKUP(G34,104:104,105:105)-LOOKUP(C34,104:104,105:105)+100</f>
        <v>98</v>
      </c>
      <c r="I34" s="429">
        <f>Sheet1!I32</f>
        <v>1625</v>
      </c>
      <c r="J34" s="136">
        <f>LOOKUP(I34,104:104,105:105)-LOOKUP(C34,104:104,105:105)+100</f>
        <v>100</v>
      </c>
      <c r="K34" s="613"/>
      <c r="L34" s="1139"/>
      <c r="M34" s="1142"/>
      <c r="N34" s="1142"/>
      <c r="O34" s="1142"/>
      <c r="P34" s="3218"/>
      <c r="Q34" s="776" t="str">
        <f t="shared" si="11"/>
        <v>项目建筑规模</v>
      </c>
      <c r="R34" s="777" t="s">
        <v>17</v>
      </c>
      <c r="S34" s="778">
        <f t="shared" si="12"/>
        <v>100</v>
      </c>
      <c r="T34" s="777" t="s">
        <v>17</v>
      </c>
      <c r="U34" s="778">
        <f t="shared" si="13"/>
        <v>98</v>
      </c>
      <c r="V34" s="777" t="s">
        <v>17</v>
      </c>
      <c r="W34" s="778">
        <f t="shared" si="14"/>
        <v>100</v>
      </c>
      <c r="X34" s="779"/>
      <c r="Y34" s="3220"/>
      <c r="Z34" s="780" t="str">
        <f t="shared" si="15"/>
        <v>项目建筑规模</v>
      </c>
      <c r="AA34" s="1811">
        <f t="shared" si="3"/>
        <v>1</v>
      </c>
      <c r="AB34" s="1811">
        <f t="shared" si="4"/>
        <v>1.0204081632653061</v>
      </c>
      <c r="AC34" s="2663">
        <f t="shared" si="5"/>
        <v>1</v>
      </c>
    </row>
    <row r="35" spans="1:29" ht="15">
      <c r="A35" s="472"/>
      <c r="B35" s="422" t="s">
        <v>2555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2</v>
      </c>
      <c r="L35" s="1141"/>
      <c r="M35" s="1132"/>
      <c r="N35" s="1132"/>
      <c r="O35" s="1132"/>
      <c r="P35" s="3218"/>
      <c r="Q35" s="1810" t="str">
        <f t="shared" si="11"/>
        <v>建筑结构</v>
      </c>
      <c r="R35" s="774" t="s">
        <v>17</v>
      </c>
      <c r="S35" s="775">
        <f t="shared" si="12"/>
        <v>100</v>
      </c>
      <c r="T35" s="774" t="s">
        <v>17</v>
      </c>
      <c r="U35" s="775">
        <f t="shared" si="13"/>
        <v>100</v>
      </c>
      <c r="V35" s="774" t="s">
        <v>17</v>
      </c>
      <c r="W35" s="775">
        <f t="shared" si="14"/>
        <v>100</v>
      </c>
      <c r="X35" s="1813"/>
      <c r="Y35" s="3220"/>
      <c r="Z35" s="1814" t="str">
        <f t="shared" si="15"/>
        <v>建筑结构</v>
      </c>
      <c r="AA35" s="1811">
        <f t="shared" si="3"/>
        <v>1</v>
      </c>
      <c r="AB35" s="1811">
        <f t="shared" si="4"/>
        <v>1</v>
      </c>
      <c r="AC35" s="2663">
        <f t="shared" si="5"/>
        <v>1</v>
      </c>
    </row>
    <row r="36" spans="1:29" ht="15">
      <c r="A36" s="472"/>
      <c r="B36" s="422" t="s">
        <v>2649</v>
      </c>
      <c r="C36" s="460" t="s">
        <v>3090</v>
      </c>
      <c r="D36" s="435">
        <v>100</v>
      </c>
      <c r="E36" s="460" t="s">
        <v>3090</v>
      </c>
      <c r="F36" s="461">
        <f>SUMIF(108:108,E36,109:109)-SUMIF(108:108,C36,109:109)+100</f>
        <v>100</v>
      </c>
      <c r="G36" s="460" t="s">
        <v>3090</v>
      </c>
      <c r="H36" s="435">
        <f>SUMIF(108:108,G36,109:109)-SUMIF(108:108,C36,109:109)+100</f>
        <v>100</v>
      </c>
      <c r="I36" s="460" t="s">
        <v>3090</v>
      </c>
      <c r="J36" s="435">
        <f>SUMIF(108:108,I36,109:109)-SUMIF(108:108,C36,109:109)+100</f>
        <v>100</v>
      </c>
      <c r="K36" s="612">
        <v>2</v>
      </c>
      <c r="L36" s="1141"/>
      <c r="M36" s="1132"/>
      <c r="N36" s="1132"/>
      <c r="O36" s="1132"/>
      <c r="P36" s="3218"/>
      <c r="Q36" s="1810" t="str">
        <f t="shared" si="11"/>
        <v>公共部分装修</v>
      </c>
      <c r="R36" s="774" t="s">
        <v>17</v>
      </c>
      <c r="S36" s="775">
        <f t="shared" si="12"/>
        <v>100</v>
      </c>
      <c r="T36" s="774" t="s">
        <v>17</v>
      </c>
      <c r="U36" s="775">
        <f t="shared" si="13"/>
        <v>100</v>
      </c>
      <c r="V36" s="774" t="s">
        <v>17</v>
      </c>
      <c r="W36" s="775">
        <f t="shared" si="14"/>
        <v>100</v>
      </c>
      <c r="X36" s="1813"/>
      <c r="Y36" s="3220"/>
      <c r="Z36" s="1814" t="str">
        <f t="shared" si="15"/>
        <v>公共部分装修</v>
      </c>
      <c r="AA36" s="1811">
        <f t="shared" si="3"/>
        <v>1</v>
      </c>
      <c r="AB36" s="1811">
        <f t="shared" si="4"/>
        <v>1</v>
      </c>
      <c r="AC36" s="2663">
        <f t="shared" si="5"/>
        <v>1</v>
      </c>
    </row>
    <row r="37" spans="1:29" ht="15">
      <c r="A37" s="472"/>
      <c r="B37" s="422" t="s">
        <v>2650</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1"/>
      <c r="M37" s="1132"/>
      <c r="N37" s="1132"/>
      <c r="O37" s="1132"/>
      <c r="P37" s="3218"/>
      <c r="Q37" s="1810" t="str">
        <f t="shared" si="11"/>
        <v>成新度</v>
      </c>
      <c r="R37" s="774" t="s">
        <v>17</v>
      </c>
      <c r="S37" s="775">
        <f t="shared" si="12"/>
        <v>98</v>
      </c>
      <c r="T37" s="774" t="s">
        <v>17</v>
      </c>
      <c r="U37" s="775">
        <f t="shared" si="13"/>
        <v>98</v>
      </c>
      <c r="V37" s="774" t="s">
        <v>17</v>
      </c>
      <c r="W37" s="775">
        <f t="shared" si="14"/>
        <v>98</v>
      </c>
      <c r="X37" s="1813"/>
      <c r="Y37" s="3220"/>
      <c r="Z37" s="1814" t="str">
        <f t="shared" si="15"/>
        <v>成新度</v>
      </c>
      <c r="AA37" s="1811">
        <f t="shared" si="3"/>
        <v>1.0204081632653061</v>
      </c>
      <c r="AB37" s="1811">
        <f t="shared" si="4"/>
        <v>1.0204081632653061</v>
      </c>
      <c r="AC37" s="2663">
        <f t="shared" si="5"/>
        <v>1.0204081632653061</v>
      </c>
    </row>
    <row r="38" spans="1:29" s="117" customFormat="1" ht="15" hidden="1">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18"/>
      <c r="Q38" s="1795"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60">
        <f t="shared" si="5"/>
        <v>1</v>
      </c>
    </row>
    <row r="39" spans="1:29" ht="15">
      <c r="A39" s="472"/>
      <c r="B39" s="422" t="s">
        <v>2683</v>
      </c>
      <c r="C39" s="460" t="s">
        <v>3097</v>
      </c>
      <c r="D39" s="435">
        <v>100</v>
      </c>
      <c r="E39" s="460" t="s">
        <v>3097</v>
      </c>
      <c r="F39" s="461">
        <f>SUMIF(115:115,E39,116:116)-SUMIF(115:115,C39,116:116)+100</f>
        <v>100</v>
      </c>
      <c r="G39" s="460" t="s">
        <v>3097</v>
      </c>
      <c r="H39" s="435">
        <f>SUMIF(115:115,G39,116:116)-SUMIF(115:115,C39,116:116)+100</f>
        <v>100</v>
      </c>
      <c r="I39" s="460" t="s">
        <v>3097</v>
      </c>
      <c r="J39" s="435">
        <f>SUMIF(115:115,I39,116:116)-SUMIF(115:115,C39,116:116)+100</f>
        <v>100</v>
      </c>
      <c r="K39" s="612">
        <v>2</v>
      </c>
      <c r="L39" s="1141"/>
      <c r="M39" s="1132"/>
      <c r="N39" s="1132"/>
      <c r="O39" s="1132"/>
      <c r="P39" s="3218" t="s">
        <v>2553</v>
      </c>
      <c r="Q39" s="1810" t="str">
        <f t="shared" si="11"/>
        <v>物业管理</v>
      </c>
      <c r="R39" s="774" t="s">
        <v>17</v>
      </c>
      <c r="S39" s="775">
        <f t="shared" si="12"/>
        <v>100</v>
      </c>
      <c r="T39" s="774" t="s">
        <v>17</v>
      </c>
      <c r="U39" s="775">
        <f t="shared" si="13"/>
        <v>100</v>
      </c>
      <c r="V39" s="774" t="s">
        <v>17</v>
      </c>
      <c r="W39" s="775">
        <f t="shared" si="14"/>
        <v>100</v>
      </c>
      <c r="X39" s="1813"/>
      <c r="Y39" s="3220" t="s">
        <v>2553</v>
      </c>
      <c r="Z39" s="1814" t="str">
        <f t="shared" si="15"/>
        <v>物业管理</v>
      </c>
      <c r="AA39" s="1811">
        <f t="shared" si="3"/>
        <v>1</v>
      </c>
      <c r="AB39" s="1811">
        <f t="shared" si="4"/>
        <v>1</v>
      </c>
      <c r="AC39" s="2663">
        <f t="shared" si="5"/>
        <v>1</v>
      </c>
    </row>
    <row r="40" spans="1:29" ht="15">
      <c r="A40" s="472"/>
      <c r="B40" s="422" t="s">
        <v>2651</v>
      </c>
      <c r="C40" s="460" t="s">
        <v>3078</v>
      </c>
      <c r="D40" s="435">
        <v>100</v>
      </c>
      <c r="E40" s="460" t="s">
        <v>3078</v>
      </c>
      <c r="F40" s="461">
        <f>SUMIF(117:117,E40,118:118)-SUMIF(117:117,C40,118:118)+100</f>
        <v>100</v>
      </c>
      <c r="G40" s="460" t="s">
        <v>3078</v>
      </c>
      <c r="H40" s="435">
        <f>SUMIF(117:117,G40,118:118)-SUMIF(117:117,C40,118:118)+100</f>
        <v>100</v>
      </c>
      <c r="I40" s="460" t="s">
        <v>3078</v>
      </c>
      <c r="J40" s="435">
        <f>SUMIF(117:117,I40,118:118)-SUMIF(117:117,C40,118:118)+100</f>
        <v>100</v>
      </c>
      <c r="K40" s="612">
        <v>1</v>
      </c>
      <c r="L40" s="1141"/>
      <c r="M40" s="1132"/>
      <c r="N40" s="1132"/>
      <c r="O40" s="1132"/>
      <c r="P40" s="3218"/>
      <c r="Q40" s="1810" t="str">
        <f t="shared" si="11"/>
        <v>市政基础设施</v>
      </c>
      <c r="R40" s="774" t="s">
        <v>17</v>
      </c>
      <c r="S40" s="775">
        <f t="shared" si="12"/>
        <v>100</v>
      </c>
      <c r="T40" s="774" t="s">
        <v>17</v>
      </c>
      <c r="U40" s="775">
        <f t="shared" si="13"/>
        <v>100</v>
      </c>
      <c r="V40" s="774" t="s">
        <v>17</v>
      </c>
      <c r="W40" s="775">
        <f t="shared" si="14"/>
        <v>100</v>
      </c>
      <c r="X40" s="1813"/>
      <c r="Y40" s="3220"/>
      <c r="Z40" s="1814" t="str">
        <f t="shared" si="15"/>
        <v>市政基础设施</v>
      </c>
      <c r="AA40" s="1811">
        <f t="shared" si="3"/>
        <v>1</v>
      </c>
      <c r="AB40" s="1811">
        <f t="shared" si="4"/>
        <v>1</v>
      </c>
      <c r="AC40" s="2663">
        <f t="shared" si="5"/>
        <v>1</v>
      </c>
    </row>
    <row r="41" spans="1:29" ht="15" hidden="1">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18"/>
      <c r="Q41" s="1810" t="str">
        <f t="shared" si="11"/>
        <v>层高</v>
      </c>
      <c r="R41" s="774" t="s">
        <v>17</v>
      </c>
      <c r="S41" s="775">
        <f t="shared" si="12"/>
        <v>100</v>
      </c>
      <c r="T41" s="774" t="s">
        <v>17</v>
      </c>
      <c r="U41" s="775">
        <f t="shared" si="13"/>
        <v>100</v>
      </c>
      <c r="V41" s="774" t="s">
        <v>17</v>
      </c>
      <c r="W41" s="775">
        <f t="shared" si="14"/>
        <v>100</v>
      </c>
      <c r="X41" s="1813"/>
      <c r="Y41" s="3220"/>
      <c r="Z41" s="1814" t="str">
        <f t="shared" si="15"/>
        <v>层高</v>
      </c>
      <c r="AA41" s="1811">
        <f t="shared" si="3"/>
        <v>1</v>
      </c>
      <c r="AB41" s="1811">
        <f t="shared" si="4"/>
        <v>1</v>
      </c>
      <c r="AC41" s="2663">
        <f t="shared" si="5"/>
        <v>1</v>
      </c>
    </row>
    <row r="42" spans="1:29" s="471" customFormat="1" ht="15" hidden="1">
      <c r="A42" s="468"/>
      <c r="B42" s="1812"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1">
        <f t="shared" si="3"/>
        <v>1</v>
      </c>
      <c r="AB42" s="1811">
        <f t="shared" si="4"/>
        <v>1</v>
      </c>
      <c r="AC42" s="2663">
        <f t="shared" si="5"/>
        <v>1</v>
      </c>
    </row>
    <row r="43" spans="1:29" ht="15">
      <c r="A43" s="472"/>
      <c r="B43" s="422" t="s">
        <v>2656</v>
      </c>
      <c r="C43" s="460" t="s">
        <v>3092</v>
      </c>
      <c r="D43" s="435">
        <v>100</v>
      </c>
      <c r="E43" s="460" t="s">
        <v>3092</v>
      </c>
      <c r="F43" s="461">
        <f>SUMIF(123:123,E43,124:124)-SUMIF(123:123,C43,124:124)+100</f>
        <v>100</v>
      </c>
      <c r="G43" s="460" t="s">
        <v>3092</v>
      </c>
      <c r="H43" s="435">
        <f>SUMIF(123:123,G43,124:124)-SUMIF(123:123,C43,124:124)+100</f>
        <v>100</v>
      </c>
      <c r="I43" s="460" t="s">
        <v>3136</v>
      </c>
      <c r="J43" s="435">
        <f>SUMIF(123:123,I43,124:124)-SUMIF(123:123,C43,124:124)+100</f>
        <v>98</v>
      </c>
      <c r="K43" s="612">
        <v>2</v>
      </c>
      <c r="L43" s="1141"/>
      <c r="M43" s="1132"/>
      <c r="N43" s="1132"/>
      <c r="O43" s="1132"/>
      <c r="P43" s="3218"/>
      <c r="Q43" s="1810" t="str">
        <f t="shared" si="11"/>
        <v>内部装修</v>
      </c>
      <c r="R43" s="774" t="s">
        <v>17</v>
      </c>
      <c r="S43" s="775">
        <f t="shared" si="12"/>
        <v>100</v>
      </c>
      <c r="T43" s="774" t="s">
        <v>17</v>
      </c>
      <c r="U43" s="775">
        <f t="shared" si="13"/>
        <v>100</v>
      </c>
      <c r="V43" s="774" t="s">
        <v>17</v>
      </c>
      <c r="W43" s="775">
        <f t="shared" si="14"/>
        <v>98</v>
      </c>
      <c r="X43" s="1813"/>
      <c r="Y43" s="3220"/>
      <c r="Z43" s="1814" t="str">
        <f t="shared" si="15"/>
        <v>内部装修</v>
      </c>
      <c r="AA43" s="1811">
        <f t="shared" si="3"/>
        <v>1</v>
      </c>
      <c r="AB43" s="1811">
        <f t="shared" si="4"/>
        <v>1</v>
      </c>
      <c r="AC43" s="2663">
        <f t="shared" si="5"/>
        <v>1.0204081632653061</v>
      </c>
    </row>
    <row r="44" spans="1:29" ht="15.75" thickBot="1">
      <c r="A44" s="472"/>
      <c r="B44" s="422" t="s">
        <v>2564</v>
      </c>
      <c r="C44" s="460" t="s">
        <v>3077</v>
      </c>
      <c r="D44" s="435">
        <v>100</v>
      </c>
      <c r="E44" s="460" t="s">
        <v>3077</v>
      </c>
      <c r="F44" s="461">
        <f>SUMIF(125:125,E44,126:126)-SUMIF(125:125,C44,126:126)+100</f>
        <v>100</v>
      </c>
      <c r="G44" s="460" t="s">
        <v>3077</v>
      </c>
      <c r="H44" s="435">
        <f>SUMIF(125:125,G44,126:126)-SUMIF(125:125,C44,126:126)+100</f>
        <v>100</v>
      </c>
      <c r="I44" s="460" t="s">
        <v>3077</v>
      </c>
      <c r="J44" s="435">
        <f>SUMIF(125:125,I44,126:126)-SUMIF(125:125,C44,126:126)+100</f>
        <v>100</v>
      </c>
      <c r="K44" s="612">
        <v>2</v>
      </c>
      <c r="L44" s="1141"/>
      <c r="M44" s="1132"/>
      <c r="N44" s="1132"/>
      <c r="O44" s="1132"/>
      <c r="P44" s="3218"/>
      <c r="Q44" s="1810" t="str">
        <f t="shared" si="11"/>
        <v>内部装修维护情况</v>
      </c>
      <c r="R44" s="774" t="s">
        <v>17</v>
      </c>
      <c r="S44" s="775">
        <f t="shared" si="12"/>
        <v>100</v>
      </c>
      <c r="T44" s="774" t="s">
        <v>17</v>
      </c>
      <c r="U44" s="775">
        <f t="shared" si="13"/>
        <v>100</v>
      </c>
      <c r="V44" s="774" t="s">
        <v>17</v>
      </c>
      <c r="W44" s="775">
        <f t="shared" si="14"/>
        <v>100</v>
      </c>
      <c r="X44" s="1813"/>
      <c r="Y44" s="3220"/>
      <c r="Z44" s="1814" t="str">
        <f t="shared" si="15"/>
        <v>内部装修维护情况</v>
      </c>
      <c r="AA44" s="1811">
        <f t="shared" si="3"/>
        <v>1</v>
      </c>
      <c r="AB44" s="1811">
        <f t="shared" si="4"/>
        <v>1</v>
      </c>
      <c r="AC44" s="2663">
        <f t="shared" si="5"/>
        <v>1</v>
      </c>
    </row>
    <row r="45" spans="1:29" s="117" customFormat="1" ht="15" hidden="1">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8"/>
      <c r="Q45" s="1795">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60">
        <f t="shared" si="5"/>
        <v>1</v>
      </c>
    </row>
    <row r="46" spans="1:29" ht="15" hidden="1">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2663">
        <f t="shared" si="5"/>
        <v>1</v>
      </c>
    </row>
    <row r="47" spans="1:29" ht="15.75" hidden="1"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9"/>
      <c r="Q47" s="1810">
        <f t="shared" si="11"/>
        <v>111</v>
      </c>
      <c r="R47" s="774" t="s">
        <v>17</v>
      </c>
      <c r="S47" s="775">
        <f t="shared" si="12"/>
        <v>100</v>
      </c>
      <c r="T47" s="774" t="s">
        <v>17</v>
      </c>
      <c r="U47" s="775">
        <f t="shared" si="13"/>
        <v>100</v>
      </c>
      <c r="V47" s="774" t="s">
        <v>17</v>
      </c>
      <c r="W47" s="775">
        <f t="shared" si="14"/>
        <v>100</v>
      </c>
      <c r="X47" s="1813"/>
      <c r="Y47" s="3221"/>
      <c r="Z47" s="1814">
        <f t="shared" si="15"/>
        <v>111</v>
      </c>
      <c r="AA47" s="1811">
        <f t="shared" si="3"/>
        <v>1</v>
      </c>
      <c r="AB47" s="1811">
        <f t="shared" si="4"/>
        <v>1</v>
      </c>
      <c r="AC47" s="2663">
        <f t="shared" si="5"/>
        <v>1</v>
      </c>
    </row>
    <row r="48" spans="1:29" ht="15">
      <c r="A48" s="479" t="s">
        <v>2565</v>
      </c>
      <c r="B48" s="480"/>
      <c r="C48" s="1408" t="s">
        <v>1</v>
      </c>
      <c r="D48" s="1409"/>
      <c r="E48" s="1410">
        <f>ROUND(Sheet1!I4*10000/'比较法-办公'!E34*0.97,0)</f>
        <v>35427</v>
      </c>
      <c r="F48" s="1411"/>
      <c r="G48" s="1410">
        <f>ROUND(Sheet1!S4*10000/'比较法-办公'!G34*0.97,0)</f>
        <v>33950</v>
      </c>
      <c r="H48" s="1413"/>
      <c r="I48" s="1410">
        <f>ROUND(Sheet1!I31*10000/'比较法-办公'!I34*0.97,0)</f>
        <v>32010</v>
      </c>
      <c r="J48" s="485"/>
      <c r="K48" s="783"/>
      <c r="L48" s="1144"/>
      <c r="M48" s="1132"/>
      <c r="N48" s="1132"/>
      <c r="O48" s="1132"/>
      <c r="P48" s="3193" t="str">
        <f>A48</f>
        <v>成交单价（元/平方米）</v>
      </c>
      <c r="Q48" s="3222"/>
      <c r="R48" s="3223">
        <f>E48</f>
        <v>35427</v>
      </c>
      <c r="S48" s="3223"/>
      <c r="T48" s="3223">
        <f>G48</f>
        <v>33950</v>
      </c>
      <c r="U48" s="3223"/>
      <c r="V48" s="3223">
        <f>I48</f>
        <v>32010</v>
      </c>
      <c r="W48" s="3223"/>
      <c r="X48" s="446"/>
      <c r="Y48" s="781"/>
      <c r="Z48" s="446"/>
      <c r="AA48" s="446"/>
      <c r="AB48" s="446"/>
      <c r="AC48" s="630"/>
    </row>
    <row r="49" spans="1:29" ht="15.75" thickBot="1">
      <c r="A49" s="486" t="s">
        <v>2657</v>
      </c>
      <c r="B49" s="487"/>
      <c r="C49" s="1414">
        <f>R50</f>
        <v>34943</v>
      </c>
      <c r="D49" s="1415"/>
      <c r="E49" s="1416">
        <f>R49</f>
        <v>36150</v>
      </c>
      <c r="F49" s="1416"/>
      <c r="G49" s="1414">
        <f>T49</f>
        <v>35350</v>
      </c>
      <c r="H49" s="1415"/>
      <c r="I49" s="1416">
        <f>V49</f>
        <v>33330</v>
      </c>
      <c r="J49" s="489"/>
      <c r="K49" s="784"/>
      <c r="L49" s="1144"/>
      <c r="M49" s="1132"/>
      <c r="N49" s="1132"/>
      <c r="O49" s="1132"/>
      <c r="P49" s="3193" t="str">
        <f>A49</f>
        <v>比较价值（元/平方米）</v>
      </c>
      <c r="Q49" s="3222"/>
      <c r="R49" s="3223">
        <f>IF(F1="售价",ROUND(PRODUCT(R48,AA7:AA47),0),ROUND(PRODUCT(R48,AA7:AA47),1))</f>
        <v>36150</v>
      </c>
      <c r="S49" s="3223"/>
      <c r="T49" s="3223">
        <f>IF(F1="售价",ROUND(PRODUCT(T48,AB7:AB47),0),ROUND(PRODUCT(T48,AB7:AB47),1))</f>
        <v>35350</v>
      </c>
      <c r="U49" s="3223"/>
      <c r="V49" s="3223">
        <f>IF(F1="售价",ROUND(PRODUCT(V48,AC7:AC47),0),ROUND(PRODUCT(V48,AC7:AC47),1))</f>
        <v>33330</v>
      </c>
      <c r="W49" s="3223"/>
      <c r="X49" s="446"/>
      <c r="Y49" s="446"/>
      <c r="Z49" s="446"/>
      <c r="AA49" s="446"/>
      <c r="AB49" s="446"/>
      <c r="AC49" s="630"/>
    </row>
    <row r="50" spans="1:29" ht="15.75" thickBot="1">
      <c r="A50" s="492" t="s">
        <v>2658</v>
      </c>
      <c r="B50" s="493"/>
      <c r="C50" s="1418">
        <f>R50</f>
        <v>34943</v>
      </c>
      <c r="D50" s="1418"/>
      <c r="E50" s="1418"/>
      <c r="F50" s="1418"/>
      <c r="G50" s="1418"/>
      <c r="H50" s="1418"/>
      <c r="I50" s="1418"/>
      <c r="J50" s="494"/>
      <c r="K50" s="785"/>
      <c r="L50" s="1144"/>
      <c r="M50" s="1132"/>
      <c r="N50" s="1132"/>
      <c r="O50" s="1132"/>
      <c r="P50" s="3224" t="str">
        <f>A50</f>
        <v>估价对象XX用房的比较价值（楼面单价，元/平方米）</v>
      </c>
      <c r="Q50" s="3225"/>
      <c r="R50" s="3226">
        <f>IF(F1="售价",ROUND(AVERAGE(R49:V49),0),ROUND(AVERAGE(R49:V49),1))</f>
        <v>34943</v>
      </c>
      <c r="S50" s="3226"/>
      <c r="T50" s="3226"/>
      <c r="U50" s="3226"/>
      <c r="V50" s="3226"/>
      <c r="W50" s="3226"/>
      <c r="X50" s="2643"/>
      <c r="Y50" s="2643"/>
      <c r="Z50" s="2643"/>
      <c r="AA50" s="2643"/>
      <c r="AB50" s="2643"/>
      <c r="AC50" s="264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2659</v>
      </c>
      <c r="D53" s="498"/>
      <c r="E53" s="499">
        <f>IF(E48&lt;E49,E49/E48-1,E48/E49-1)</f>
        <v>2.0408163265306145E-2</v>
      </c>
      <c r="F53" s="500" t="str">
        <f>IF(OR(E53&gt;=0.3,E53&lt;=-0.3),"超过30%","")</f>
        <v/>
      </c>
      <c r="G53" s="499">
        <f>IF(G48&lt;G49,G49/G48-1,G48/G49-1)</f>
        <v>4.1237113402061931E-2</v>
      </c>
      <c r="H53" s="500" t="str">
        <f>IF(OR(G53&gt;=0.3,G53&lt;=-0.3),"超过30%","")</f>
        <v/>
      </c>
      <c r="I53" s="499">
        <f>IF(I48&lt;I49,I49/I48-1,I48/I49-1)</f>
        <v>4.1237113402061931E-2</v>
      </c>
      <c r="J53" s="500" t="str">
        <f>IF(OR(I53&gt;=0.3,I53&lt;=-0.3),"超过30%","")</f>
        <v/>
      </c>
      <c r="K53" s="1106"/>
      <c r="L53" s="1107"/>
      <c r="M53" s="1145"/>
      <c r="N53" s="1145"/>
      <c r="O53" s="1145"/>
    </row>
    <row r="54" spans="1:29" ht="13.5" customHeight="1">
      <c r="A54" s="1145"/>
      <c r="B54" s="1145"/>
      <c r="C54" s="497" t="s">
        <v>2660</v>
      </c>
      <c r="D54" s="501"/>
      <c r="E54" s="499">
        <f>IF(E49&lt;G49,G49/E49-1,E49/G49-1)</f>
        <v>2.2630834512022524E-2</v>
      </c>
      <c r="F54" s="500" t="str">
        <f>IF(OR(E54&gt;=0.2,E54&lt;=-0.2),"超过20%","")</f>
        <v/>
      </c>
      <c r="G54" s="499">
        <f>IF(G49&lt;I49,I49/G49-1,G49/I49-1)</f>
        <v>6.0606060606060552E-2</v>
      </c>
      <c r="H54" s="500" t="str">
        <f>IF(OR(G54&gt;=0.2,G54&lt;=-0.2),"超过20%","")</f>
        <v/>
      </c>
      <c r="I54" s="499">
        <f>IF(I49&lt;E49,E49/I49-1,I49/E49-1)</f>
        <v>8.4608460846084643E-2</v>
      </c>
      <c r="J54" s="500" t="str">
        <f>IF(OR(I54&gt;=0.2,I54&lt;=-0.2),"超过20%","")</f>
        <v/>
      </c>
      <c r="K54" s="1106"/>
      <c r="L54" s="1107"/>
      <c r="M54" s="1145"/>
      <c r="N54" s="1145"/>
      <c r="O54" s="1145"/>
    </row>
    <row r="55" spans="1:29" s="502" customFormat="1" ht="13.5" customHeight="1">
      <c r="A55" s="1146"/>
      <c r="B55" s="1146"/>
      <c r="C55" s="497" t="s">
        <v>2661</v>
      </c>
      <c r="D55" s="501"/>
      <c r="E55" s="499">
        <f>IF(E48&lt;G48,G48/E48-1,E48/G48-1)</f>
        <v>4.3505154639175148E-2</v>
      </c>
      <c r="F55" s="500" t="str">
        <f>IF(OR(E55&gt;=0.3,E55&lt;=-0.3),"超过30%","")</f>
        <v/>
      </c>
      <c r="G55" s="499">
        <f>IF(G48&lt;I48,I48/G48-1,G48/I48-1)</f>
        <v>6.0606060606060552E-2</v>
      </c>
      <c r="H55" s="500" t="str">
        <f>IF(OR(G55&gt;=0.3,G55&lt;=-0.3),"超过30%","")</f>
        <v/>
      </c>
      <c r="I55" s="499">
        <f>IF(I48&lt;E48,E48/I48-1,I48/E48-1)</f>
        <v>0.10674789128397366</v>
      </c>
      <c r="J55" s="500" t="str">
        <f>IF(OR(I55&gt;=0.3,I55&lt;=-0.3),"超过30%","")</f>
        <v/>
      </c>
      <c r="K55" s="1149"/>
      <c r="L55" s="1150"/>
      <c r="M55" s="1146"/>
      <c r="N55" s="1146"/>
      <c r="O55" s="1146"/>
      <c r="P55" s="2669"/>
    </row>
    <row r="56" spans="1:29" s="502" customFormat="1">
      <c r="A56" s="1146"/>
      <c r="B56" s="1147"/>
      <c r="C56" s="1151"/>
      <c r="D56" s="1146"/>
      <c r="E56" s="1146"/>
      <c r="F56" s="1146"/>
      <c r="G56" s="1146"/>
      <c r="H56" s="1146"/>
      <c r="I56" s="1146"/>
      <c r="J56" s="1146"/>
      <c r="K56" s="1149"/>
      <c r="L56" s="1150"/>
      <c r="M56" s="1146"/>
      <c r="N56" s="1146"/>
      <c r="O56" s="1146"/>
      <c r="P56" s="2669"/>
    </row>
    <row r="57" spans="1:29">
      <c r="A57" s="1145"/>
      <c r="B57" s="1147"/>
      <c r="C57" s="1151"/>
      <c r="D57" s="1145"/>
      <c r="E57" s="1145"/>
      <c r="F57" s="1145"/>
      <c r="G57" s="1145"/>
      <c r="H57" s="1145"/>
      <c r="I57" s="1145"/>
      <c r="J57" s="1145"/>
      <c r="K57" s="1106"/>
      <c r="L57" s="1107"/>
      <c r="M57" s="1145"/>
      <c r="N57" s="1145"/>
      <c r="O57" s="1145"/>
    </row>
    <row r="58" spans="1:29" ht="21.75" thickBot="1">
      <c r="A58" s="763" t="s">
        <v>2662</v>
      </c>
      <c r="B58" s="759"/>
      <c r="C58" s="764"/>
      <c r="D58" s="764"/>
      <c r="E58" s="764"/>
      <c r="F58" s="765"/>
      <c r="G58" s="765"/>
      <c r="H58" s="764"/>
      <c r="I58" s="764"/>
      <c r="J58" s="764"/>
      <c r="K58" s="766"/>
      <c r="L58" s="1162"/>
      <c r="M58" s="1160"/>
      <c r="N58" s="1160"/>
      <c r="O58" s="1160"/>
      <c r="P58" s="2670"/>
      <c r="Q58" s="504"/>
    </row>
    <row r="59" spans="1:29" s="508" customFormat="1" ht="15">
      <c r="A59" s="505" t="s">
        <v>2536</v>
      </c>
      <c r="B59" s="506"/>
      <c r="C59" s="1574" t="str">
        <f>YEAR(C7)&amp;"-"&amp;MONTH(C7)</f>
        <v>2018-7</v>
      </c>
      <c r="D59" s="1575">
        <f>EDATE(C59,-1)</f>
        <v>43252</v>
      </c>
      <c r="E59" s="1575">
        <f>EDATE(D59,-1)</f>
        <v>43221</v>
      </c>
      <c r="F59" s="1575">
        <f t="shared" ref="F59:O59" si="16">EDATE(E59,-1)</f>
        <v>43191</v>
      </c>
      <c r="G59" s="1575">
        <f t="shared" si="16"/>
        <v>43160</v>
      </c>
      <c r="H59" s="1575">
        <f t="shared" si="16"/>
        <v>43132</v>
      </c>
      <c r="I59" s="1575">
        <f t="shared" si="16"/>
        <v>43101</v>
      </c>
      <c r="J59" s="1575">
        <f t="shared" si="16"/>
        <v>43070</v>
      </c>
      <c r="K59" s="1575">
        <f t="shared" si="16"/>
        <v>43040</v>
      </c>
      <c r="L59" s="1575">
        <f t="shared" si="16"/>
        <v>43009</v>
      </c>
      <c r="M59" s="1575">
        <f t="shared" si="16"/>
        <v>42979</v>
      </c>
      <c r="N59" s="1575">
        <f t="shared" si="16"/>
        <v>42948</v>
      </c>
      <c r="O59" s="1575">
        <f t="shared" si="16"/>
        <v>42917</v>
      </c>
      <c r="P59" s="1571"/>
    </row>
    <row r="60" spans="1:29" s="117" customFormat="1" ht="15">
      <c r="A60" s="509"/>
      <c r="B60" s="510"/>
      <c r="C60" s="1573">
        <v>100</v>
      </c>
      <c r="D60" s="512">
        <v>100</v>
      </c>
      <c r="E60" s="512">
        <v>100</v>
      </c>
      <c r="F60" s="512">
        <v>100</v>
      </c>
      <c r="G60" s="512">
        <v>100</v>
      </c>
      <c r="H60" s="512">
        <v>100</v>
      </c>
      <c r="I60" s="512">
        <v>100</v>
      </c>
      <c r="J60" s="512"/>
      <c r="K60" s="512"/>
      <c r="L60" s="512"/>
      <c r="M60" s="513"/>
      <c r="N60" s="512"/>
      <c r="O60" s="513"/>
      <c r="P60" s="2671"/>
    </row>
    <row r="61" spans="1:29" s="117" customFormat="1" ht="15.75" thickBot="1">
      <c r="A61" s="515" t="s">
        <v>2573</v>
      </c>
      <c r="B61" s="516"/>
      <c r="C61" s="517"/>
      <c r="D61" s="518"/>
      <c r="E61" s="518"/>
      <c r="F61" s="518"/>
      <c r="G61" s="518"/>
      <c r="H61" s="518"/>
      <c r="I61" s="518"/>
      <c r="J61" s="518"/>
      <c r="K61" s="518"/>
      <c r="L61" s="518"/>
      <c r="M61" s="519"/>
      <c r="N61" s="518"/>
      <c r="O61" s="519"/>
      <c r="P61" s="2671"/>
      <c r="Q61" s="504"/>
    </row>
    <row r="62" spans="1:29" s="117" customFormat="1" ht="15">
      <c r="A62" s="521" t="s">
        <v>2538</v>
      </c>
      <c r="B62" s="510"/>
      <c r="C62" s="522" t="s">
        <v>2640</v>
      </c>
      <c r="D62" s="523"/>
      <c r="E62" s="523"/>
      <c r="F62" s="523"/>
      <c r="G62" s="523"/>
      <c r="H62" s="523"/>
      <c r="I62" s="523"/>
      <c r="J62" s="523"/>
      <c r="K62" s="523"/>
      <c r="L62" s="524"/>
      <c r="M62" s="525"/>
      <c r="N62" s="1152"/>
      <c r="O62" s="1152"/>
      <c r="P62" s="2672"/>
      <c r="Q62" s="504"/>
    </row>
    <row r="63" spans="1:29" s="117" customFormat="1" ht="15.75" thickBot="1">
      <c r="A63" s="521"/>
      <c r="B63" s="510"/>
      <c r="C63" s="511">
        <v>100</v>
      </c>
      <c r="D63" s="512"/>
      <c r="E63" s="512"/>
      <c r="F63" s="512"/>
      <c r="G63" s="512"/>
      <c r="H63" s="512"/>
      <c r="I63" s="512"/>
      <c r="J63" s="512"/>
      <c r="K63" s="512"/>
      <c r="L63" s="512"/>
      <c r="M63" s="514"/>
      <c r="N63" s="1152"/>
      <c r="O63" s="1152"/>
      <c r="P63" s="2671"/>
      <c r="Q63" s="504"/>
    </row>
    <row r="64" spans="1:29">
      <c r="A64" s="527" t="s">
        <v>2576</v>
      </c>
      <c r="B64" s="528" t="s">
        <v>2542</v>
      </c>
      <c r="C64" s="529" t="str">
        <f>C9</f>
        <v>工业</v>
      </c>
      <c r="D64" s="530"/>
      <c r="E64" s="530"/>
      <c r="F64" s="530"/>
      <c r="G64" s="530"/>
      <c r="H64" s="530"/>
      <c r="I64" s="530"/>
      <c r="J64" s="530"/>
      <c r="K64" s="531"/>
      <c r="L64" s="532"/>
      <c r="M64" s="533"/>
      <c r="N64" s="1153"/>
      <c r="O64" s="1153"/>
      <c r="P64" s="2673"/>
      <c r="Q64" s="504"/>
    </row>
    <row r="65" spans="1:17" ht="15.75" thickBot="1">
      <c r="A65" s="534"/>
      <c r="B65" s="535"/>
      <c r="C65" s="536">
        <v>100</v>
      </c>
      <c r="D65" s="536"/>
      <c r="E65" s="536"/>
      <c r="F65" s="536"/>
      <c r="G65" s="536"/>
      <c r="H65" s="536"/>
      <c r="I65" s="536"/>
      <c r="J65" s="536"/>
      <c r="K65" s="536"/>
      <c r="L65" s="536"/>
      <c r="M65" s="537"/>
      <c r="N65" s="1154"/>
      <c r="O65" s="1154"/>
      <c r="P65" s="267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3"/>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73"/>
      <c r="Q67" s="504"/>
    </row>
    <row r="68" spans="1:17" ht="15.75" thickTop="1">
      <c r="A68" s="534"/>
      <c r="B68" s="546" t="s">
        <v>2546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73"/>
      <c r="Q68" s="504"/>
    </row>
    <row r="69" spans="1:17" ht="15">
      <c r="A69" s="534"/>
      <c r="B69" s="548"/>
      <c r="C69" s="549">
        <v>0</v>
      </c>
      <c r="D69" s="549">
        <v>1</v>
      </c>
      <c r="E69" s="549">
        <v>2</v>
      </c>
      <c r="F69" s="549">
        <v>3</v>
      </c>
      <c r="G69" s="549">
        <v>4</v>
      </c>
      <c r="H69" s="549">
        <v>5</v>
      </c>
      <c r="I69" s="549">
        <v>6</v>
      </c>
      <c r="J69" s="549"/>
      <c r="K69" s="550"/>
      <c r="L69" s="551"/>
      <c r="M69" s="552"/>
      <c r="N69" s="1153"/>
      <c r="O69" s="1153"/>
      <c r="P69" s="267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73"/>
      <c r="Q70" s="504"/>
    </row>
    <row r="71" spans="1:17" s="471" customFormat="1" ht="15.75" thickTop="1">
      <c r="A71" s="553"/>
      <c r="B71" s="538">
        <f>B12</f>
        <v>111</v>
      </c>
      <c r="C71" s="554"/>
      <c r="D71" s="554"/>
      <c r="E71" s="554"/>
      <c r="F71" s="554"/>
      <c r="G71" s="554"/>
      <c r="H71" s="555"/>
      <c r="I71" s="555"/>
      <c r="J71" s="555"/>
      <c r="K71" s="555"/>
      <c r="L71" s="556"/>
      <c r="M71" s="557"/>
      <c r="N71" s="1155"/>
      <c r="O71" s="1155"/>
      <c r="P71" s="2674"/>
      <c r="Q71" s="559"/>
    </row>
    <row r="72" spans="1:17" s="471" customFormat="1" ht="15.75" thickBot="1">
      <c r="A72" s="553"/>
      <c r="B72" s="543"/>
      <c r="C72" s="560"/>
      <c r="D72" s="536"/>
      <c r="E72" s="536"/>
      <c r="F72" s="536"/>
      <c r="G72" s="536"/>
      <c r="H72" s="536"/>
      <c r="I72" s="536"/>
      <c r="J72" s="536"/>
      <c r="K72" s="536"/>
      <c r="L72" s="536"/>
      <c r="M72" s="537"/>
      <c r="N72" s="1154"/>
      <c r="O72" s="1154"/>
      <c r="P72" s="2674"/>
      <c r="Q72" s="559"/>
    </row>
    <row r="73" spans="1:17" s="471" customFormat="1" ht="15.75" thickTop="1">
      <c r="A73" s="553"/>
      <c r="B73" s="538">
        <f>B13</f>
        <v>111</v>
      </c>
      <c r="C73" s="554"/>
      <c r="D73" s="554"/>
      <c r="E73" s="554"/>
      <c r="F73" s="554"/>
      <c r="G73" s="554"/>
      <c r="H73" s="555"/>
      <c r="I73" s="555"/>
      <c r="J73" s="555"/>
      <c r="K73" s="555"/>
      <c r="L73" s="556"/>
      <c r="M73" s="557"/>
      <c r="N73" s="1155"/>
      <c r="O73" s="1155"/>
      <c r="P73" s="2675"/>
      <c r="Q73" s="561"/>
    </row>
    <row r="74" spans="1:17" s="471" customFormat="1" ht="15.75" thickBot="1">
      <c r="A74" s="553"/>
      <c r="B74" s="543"/>
      <c r="C74" s="560"/>
      <c r="D74" s="560"/>
      <c r="E74" s="560"/>
      <c r="F74" s="560"/>
      <c r="G74" s="560"/>
      <c r="H74" s="562"/>
      <c r="I74" s="562"/>
      <c r="J74" s="562"/>
      <c r="K74" s="562"/>
      <c r="L74" s="562"/>
      <c r="M74" s="563"/>
      <c r="N74" s="1155"/>
      <c r="O74" s="1155"/>
      <c r="P74" s="2674"/>
      <c r="Q74" s="559"/>
    </row>
    <row r="75" spans="1:17" s="471" customFormat="1" ht="15.75" thickTop="1">
      <c r="A75" s="553"/>
      <c r="B75" s="546">
        <f>B14</f>
        <v>111</v>
      </c>
      <c r="C75" s="523"/>
      <c r="D75" s="523"/>
      <c r="E75" s="523"/>
      <c r="F75" s="523"/>
      <c r="G75" s="523"/>
      <c r="H75" s="564"/>
      <c r="I75" s="564"/>
      <c r="J75" s="564"/>
      <c r="K75" s="564"/>
      <c r="L75" s="565"/>
      <c r="M75" s="566"/>
      <c r="N75" s="1155"/>
      <c r="O75" s="1155"/>
      <c r="P75" s="2676"/>
      <c r="Q75" s="559"/>
    </row>
    <row r="76" spans="1:17" s="471" customFormat="1" ht="15.75" thickBot="1">
      <c r="A76" s="568"/>
      <c r="B76" s="569"/>
      <c r="C76" s="570"/>
      <c r="D76" s="570"/>
      <c r="E76" s="570"/>
      <c r="F76" s="570"/>
      <c r="G76" s="570"/>
      <c r="H76" s="571"/>
      <c r="I76" s="571"/>
      <c r="J76" s="571"/>
      <c r="K76" s="571"/>
      <c r="L76" s="571"/>
      <c r="M76" s="572"/>
      <c r="N76" s="1155"/>
      <c r="O76" s="1155"/>
      <c r="P76" s="267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3"/>
      <c r="O77" s="1153"/>
      <c r="P77" s="267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7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3"/>
      <c r="O79" s="1153"/>
      <c r="P79" s="267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7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3"/>
      <c r="O81" s="1153"/>
      <c r="P81" s="267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73"/>
      <c r="Q82" s="504"/>
    </row>
    <row r="83" spans="1:17" ht="15.75" thickTop="1">
      <c r="A83" s="534"/>
      <c r="B83" s="546" t="s">
        <v>2677</v>
      </c>
      <c r="C83" s="660" t="s">
        <v>2663</v>
      </c>
      <c r="D83" s="660" t="s">
        <v>2664</v>
      </c>
      <c r="E83" s="660" t="s">
        <v>2665</v>
      </c>
      <c r="F83" s="660" t="s">
        <v>2666</v>
      </c>
      <c r="G83" s="660" t="s">
        <v>2667</v>
      </c>
      <c r="H83" s="539"/>
      <c r="I83" s="539"/>
      <c r="J83" s="539"/>
      <c r="K83" s="539"/>
      <c r="L83" s="539"/>
      <c r="M83" s="1383"/>
      <c r="N83" s="1154"/>
      <c r="O83" s="1154"/>
      <c r="P83" s="267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4"/>
      <c r="O84" s="1154"/>
      <c r="P84" s="267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3"/>
      <c r="O85" s="1153"/>
      <c r="P85" s="267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73"/>
      <c r="Q86" s="504"/>
    </row>
    <row r="87" spans="1:17" s="117" customFormat="1" ht="27.75" thickTop="1">
      <c r="A87" s="579"/>
      <c r="B87" s="538" t="s">
        <v>2687</v>
      </c>
      <c r="C87" s="2948" t="s">
        <v>3079</v>
      </c>
      <c r="D87" s="2948" t="s">
        <v>3080</v>
      </c>
      <c r="E87" s="2948" t="s">
        <v>3081</v>
      </c>
      <c r="F87" s="2948" t="s">
        <v>3082</v>
      </c>
      <c r="G87" s="2948" t="s">
        <v>3076</v>
      </c>
      <c r="H87" s="554"/>
      <c r="I87" s="554"/>
      <c r="J87" s="554"/>
      <c r="K87" s="554"/>
      <c r="L87" s="580"/>
      <c r="M87" s="581"/>
      <c r="N87" s="1152"/>
      <c r="O87" s="1152"/>
      <c r="P87" s="267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73"/>
      <c r="Q88" s="504"/>
    </row>
    <row r="89" spans="1:17" s="117" customFormat="1" ht="15.75" thickTop="1">
      <c r="A89" s="579"/>
      <c r="B89" s="538" t="str">
        <f>B27</f>
        <v>楼层</v>
      </c>
      <c r="C89" s="2948" t="s">
        <v>3083</v>
      </c>
      <c r="D89" s="2948" t="s">
        <v>3085</v>
      </c>
      <c r="E89" s="2948" t="s">
        <v>3086</v>
      </c>
      <c r="F89" s="2624"/>
      <c r="G89" s="554"/>
      <c r="H89" s="554"/>
      <c r="I89" s="554"/>
      <c r="J89" s="554"/>
      <c r="K89" s="554"/>
      <c r="L89" s="554"/>
      <c r="M89" s="581"/>
      <c r="N89" s="1152"/>
      <c r="O89" s="1152"/>
      <c r="P89" s="267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7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74"/>
      <c r="Q92" s="559"/>
    </row>
    <row r="93" spans="1:17" ht="15.75" thickTop="1">
      <c r="A93" s="534"/>
      <c r="B93" s="538">
        <f>B29</f>
        <v>111</v>
      </c>
      <c r="C93" s="554"/>
      <c r="D93" s="554"/>
      <c r="E93" s="554"/>
      <c r="F93" s="554"/>
      <c r="G93" s="554"/>
      <c r="H93" s="554"/>
      <c r="I93" s="554"/>
      <c r="J93" s="554"/>
      <c r="K93" s="554"/>
      <c r="L93" s="580"/>
      <c r="M93" s="581"/>
      <c r="N93" s="1153"/>
      <c r="O93" s="1153"/>
      <c r="P93" s="2673"/>
      <c r="Q93" s="504"/>
    </row>
    <row r="94" spans="1:17" ht="15.75" thickBot="1">
      <c r="A94" s="534"/>
      <c r="B94" s="543"/>
      <c r="C94" s="560"/>
      <c r="D94" s="536"/>
      <c r="E94" s="536"/>
      <c r="F94" s="536"/>
      <c r="G94" s="536"/>
      <c r="H94" s="536"/>
      <c r="I94" s="536"/>
      <c r="J94" s="536"/>
      <c r="K94" s="536"/>
      <c r="L94" s="536"/>
      <c r="M94" s="537"/>
      <c r="N94" s="1154"/>
      <c r="O94" s="1154"/>
      <c r="P94" s="2673"/>
      <c r="Q94" s="504"/>
    </row>
    <row r="95" spans="1:17" ht="15.75" thickTop="1">
      <c r="A95" s="534"/>
      <c r="B95" s="538">
        <f>B30</f>
        <v>111</v>
      </c>
      <c r="C95" s="554"/>
      <c r="D95" s="554"/>
      <c r="E95" s="554"/>
      <c r="F95" s="554"/>
      <c r="G95" s="583"/>
      <c r="H95" s="583"/>
      <c r="I95" s="583"/>
      <c r="J95" s="583"/>
      <c r="K95" s="584"/>
      <c r="L95" s="585"/>
      <c r="M95" s="586"/>
      <c r="N95" s="1153"/>
      <c r="O95" s="1153"/>
      <c r="P95" s="2673"/>
      <c r="Q95" s="504"/>
    </row>
    <row r="96" spans="1:17" ht="15.75" thickBot="1">
      <c r="A96" s="534"/>
      <c r="B96" s="543"/>
      <c r="C96" s="560"/>
      <c r="D96" s="560"/>
      <c r="E96" s="560"/>
      <c r="F96" s="560"/>
      <c r="G96" s="536"/>
      <c r="H96" s="536"/>
      <c r="I96" s="536"/>
      <c r="J96" s="536"/>
      <c r="K96" s="536"/>
      <c r="L96" s="536"/>
      <c r="M96" s="537"/>
      <c r="N96" s="1154"/>
      <c r="O96" s="1154"/>
      <c r="P96" s="2673"/>
      <c r="Q96" s="504"/>
    </row>
    <row r="97" spans="1:17" ht="15.75" thickTop="1">
      <c r="A97" s="534"/>
      <c r="B97" s="538">
        <f>B31</f>
        <v>111</v>
      </c>
      <c r="C97" s="554"/>
      <c r="D97" s="554"/>
      <c r="E97" s="554"/>
      <c r="F97" s="554"/>
      <c r="G97" s="583"/>
      <c r="H97" s="583"/>
      <c r="I97" s="583"/>
      <c r="J97" s="583"/>
      <c r="K97" s="584"/>
      <c r="L97" s="585"/>
      <c r="M97" s="586"/>
      <c r="N97" s="1153"/>
      <c r="O97" s="1153"/>
      <c r="P97" s="2673"/>
      <c r="Q97" s="504"/>
    </row>
    <row r="98" spans="1:17" ht="15.75" thickBot="1">
      <c r="A98" s="534"/>
      <c r="B98" s="543"/>
      <c r="C98" s="560"/>
      <c r="D98" s="536"/>
      <c r="E98" s="536"/>
      <c r="F98" s="536"/>
      <c r="G98" s="536"/>
      <c r="H98" s="536"/>
      <c r="I98" s="536"/>
      <c r="J98" s="536"/>
      <c r="K98" s="536"/>
      <c r="L98" s="536"/>
      <c r="M98" s="537"/>
      <c r="N98" s="1154"/>
      <c r="O98" s="1154"/>
      <c r="P98" s="2673"/>
      <c r="Q98" s="504"/>
    </row>
    <row r="99" spans="1:17" ht="15.75" thickTop="1">
      <c r="A99" s="534"/>
      <c r="B99" s="546">
        <f>B32</f>
        <v>111</v>
      </c>
      <c r="C99" s="523"/>
      <c r="D99" s="523"/>
      <c r="E99" s="523"/>
      <c r="F99" s="523"/>
      <c r="G99" s="587"/>
      <c r="H99" s="587"/>
      <c r="I99" s="587"/>
      <c r="J99" s="587"/>
      <c r="K99" s="588"/>
      <c r="L99" s="589"/>
      <c r="M99" s="590"/>
      <c r="N99" s="1153"/>
      <c r="O99" s="1153"/>
      <c r="P99" s="2673"/>
      <c r="Q99" s="504"/>
    </row>
    <row r="100" spans="1:17" ht="15.75" thickBot="1">
      <c r="A100" s="2625"/>
      <c r="B100" s="569"/>
      <c r="C100" s="570"/>
      <c r="D100" s="570"/>
      <c r="E100" s="570"/>
      <c r="F100" s="570"/>
      <c r="G100" s="591"/>
      <c r="H100" s="591"/>
      <c r="I100" s="591"/>
      <c r="J100" s="591"/>
      <c r="K100" s="591"/>
      <c r="L100" s="591"/>
      <c r="M100" s="592"/>
      <c r="N100" s="1154"/>
      <c r="O100" s="1154"/>
      <c r="P100" s="2673"/>
      <c r="Q100" s="504"/>
    </row>
    <row r="101" spans="1:17">
      <c r="A101" s="527" t="s">
        <v>2551</v>
      </c>
      <c r="B101" s="528" t="s">
        <v>2600</v>
      </c>
      <c r="C101" s="530"/>
      <c r="D101" s="530"/>
      <c r="E101" s="530"/>
      <c r="F101" s="530"/>
      <c r="G101" s="530"/>
      <c r="H101" s="530"/>
      <c r="I101" s="530"/>
      <c r="J101" s="530"/>
      <c r="K101" s="531"/>
      <c r="L101" s="532"/>
      <c r="M101" s="533"/>
      <c r="N101" s="1153"/>
      <c r="O101" s="1153"/>
      <c r="P101" s="2673"/>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73"/>
      <c r="Q102" s="504"/>
    </row>
    <row r="103" spans="1:17" ht="29.25" thickTop="1">
      <c r="A103" s="534"/>
      <c r="B103" s="538" t="s">
        <v>2601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2"/>
      <c r="O103" s="1152"/>
      <c r="P103" s="2673"/>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5"/>
      <c r="O104" s="1155"/>
      <c r="P104" s="2674"/>
      <c r="Q104" s="559"/>
    </row>
    <row r="105" spans="1:17" s="471" customFormat="1" ht="15.75" thickBot="1">
      <c r="A105" s="553"/>
      <c r="B105" s="543"/>
      <c r="C105" s="560">
        <v>100</v>
      </c>
      <c r="D105" s="536">
        <v>98</v>
      </c>
      <c r="E105" s="536">
        <v>96</v>
      </c>
      <c r="F105" s="536">
        <v>94</v>
      </c>
      <c r="G105" s="536">
        <v>92</v>
      </c>
      <c r="H105" s="536">
        <v>90</v>
      </c>
      <c r="I105" s="536">
        <v>88</v>
      </c>
      <c r="J105" s="536"/>
      <c r="K105" s="536"/>
      <c r="L105" s="536"/>
      <c r="M105" s="537"/>
      <c r="N105" s="1154"/>
      <c r="O105" s="1154"/>
      <c r="P105" s="2674"/>
      <c r="Q105" s="559"/>
    </row>
    <row r="106" spans="1:17" ht="15" thickTop="1">
      <c r="A106" s="599"/>
      <c r="B106" s="538" t="s">
        <v>2602</v>
      </c>
      <c r="C106" s="2948" t="s">
        <v>3088</v>
      </c>
      <c r="D106" s="2948" t="s">
        <v>3089</v>
      </c>
      <c r="E106" s="583"/>
      <c r="F106" s="583"/>
      <c r="G106" s="583"/>
      <c r="H106" s="583"/>
      <c r="I106" s="583"/>
      <c r="J106" s="583"/>
      <c r="K106" s="584"/>
      <c r="L106" s="585"/>
      <c r="M106" s="586"/>
      <c r="N106" s="1153"/>
      <c r="O106" s="1153"/>
      <c r="P106" s="2673"/>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73"/>
      <c r="Q107" s="504"/>
    </row>
    <row r="108" spans="1:17" ht="15" thickTop="1">
      <c r="A108" s="599"/>
      <c r="B108" s="538" t="s">
        <v>2604</v>
      </c>
      <c r="C108" s="2948" t="s">
        <v>3091</v>
      </c>
      <c r="D108" s="2948" t="s">
        <v>3093</v>
      </c>
      <c r="E108" s="2948" t="s">
        <v>3094</v>
      </c>
      <c r="F108" s="2947" t="s">
        <v>3095</v>
      </c>
      <c r="G108" s="583"/>
      <c r="H108" s="583"/>
      <c r="I108" s="583"/>
      <c r="J108" s="583"/>
      <c r="K108" s="584"/>
      <c r="L108" s="585"/>
      <c r="M108" s="586"/>
      <c r="N108" s="1153"/>
      <c r="O108" s="1153"/>
      <c r="P108" s="2673"/>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7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73"/>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74"/>
      <c r="Q114" s="559"/>
    </row>
    <row r="115" spans="1:17" ht="15" thickTop="1">
      <c r="A115" s="599"/>
      <c r="B115" s="538" t="s">
        <v>2605</v>
      </c>
      <c r="C115" s="2948" t="s">
        <v>3096</v>
      </c>
      <c r="D115" s="2948" t="s">
        <v>3098</v>
      </c>
      <c r="E115" s="583"/>
      <c r="F115" s="583"/>
      <c r="G115" s="583"/>
      <c r="H115" s="583"/>
      <c r="I115" s="583"/>
      <c r="J115" s="583"/>
      <c r="K115" s="584"/>
      <c r="L115" s="585"/>
      <c r="M115" s="586"/>
      <c r="N115" s="1153"/>
      <c r="O115" s="1153"/>
      <c r="P115" s="267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73"/>
      <c r="Q116" s="504"/>
    </row>
    <row r="117" spans="1:17" ht="15" thickTop="1">
      <c r="A117" s="599"/>
      <c r="B117" s="538" t="s">
        <v>2606</v>
      </c>
      <c r="C117" s="2948" t="s">
        <v>3099</v>
      </c>
      <c r="D117" s="2948" t="s">
        <v>3100</v>
      </c>
      <c r="E117" s="2948" t="s">
        <v>3101</v>
      </c>
      <c r="F117" s="554"/>
      <c r="G117" s="554"/>
      <c r="H117" s="583"/>
      <c r="I117" s="583"/>
      <c r="J117" s="583"/>
      <c r="K117" s="584"/>
      <c r="L117" s="585"/>
      <c r="M117" s="586"/>
      <c r="N117" s="1153"/>
      <c r="O117" s="1153"/>
      <c r="P117" s="267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73"/>
      <c r="Q118" s="504"/>
    </row>
    <row r="119" spans="1:17" ht="15" thickTop="1">
      <c r="A119" s="599"/>
      <c r="B119" s="636" t="s">
        <v>2689</v>
      </c>
      <c r="C119" s="2947" t="s">
        <v>3102</v>
      </c>
      <c r="D119" s="583"/>
      <c r="E119" s="583"/>
      <c r="F119" s="583"/>
      <c r="G119" s="583"/>
      <c r="H119" s="583"/>
      <c r="I119" s="583"/>
      <c r="J119" s="583"/>
      <c r="K119" s="583"/>
      <c r="L119" s="2678"/>
      <c r="M119" s="2679"/>
      <c r="N119" s="1154"/>
      <c r="O119" s="1154"/>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3"/>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7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74"/>
      <c r="Q122" s="559"/>
    </row>
    <row r="123" spans="1:17" ht="15" thickTop="1">
      <c r="A123" s="599"/>
      <c r="B123" s="538" t="s">
        <v>2608</v>
      </c>
      <c r="C123" s="2948" t="s">
        <v>3103</v>
      </c>
      <c r="D123" s="2948" t="s">
        <v>3093</v>
      </c>
      <c r="E123" s="2948" t="s">
        <v>3094</v>
      </c>
      <c r="F123" s="2947" t="s">
        <v>3095</v>
      </c>
      <c r="G123" s="583"/>
      <c r="H123" s="583"/>
      <c r="I123" s="583"/>
      <c r="J123" s="583"/>
      <c r="K123" s="584"/>
      <c r="L123" s="585"/>
      <c r="M123" s="586"/>
      <c r="N123" s="1153"/>
      <c r="O123" s="1153"/>
      <c r="P123" s="267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7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7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7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7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74"/>
      <c r="Q128" s="559"/>
    </row>
    <row r="129" spans="1:17" ht="15" thickTop="1">
      <c r="A129" s="599"/>
      <c r="B129" s="538">
        <f>B46</f>
        <v>111</v>
      </c>
      <c r="C129" s="554"/>
      <c r="D129" s="554"/>
      <c r="E129" s="554"/>
      <c r="F129" s="554"/>
      <c r="G129" s="583"/>
      <c r="H129" s="583"/>
      <c r="I129" s="583"/>
      <c r="J129" s="583"/>
      <c r="K129" s="584"/>
      <c r="L129" s="585"/>
      <c r="M129" s="586"/>
      <c r="N129" s="1153"/>
      <c r="O129" s="1153"/>
      <c r="P129" s="2673"/>
      <c r="Q129" s="504"/>
    </row>
    <row r="130" spans="1:17" ht="15.75" thickBot="1">
      <c r="A130" s="534"/>
      <c r="B130" s="543"/>
      <c r="C130" s="560"/>
      <c r="D130" s="560"/>
      <c r="E130" s="560"/>
      <c r="F130" s="560"/>
      <c r="G130" s="536"/>
      <c r="H130" s="536"/>
      <c r="I130" s="536"/>
      <c r="J130" s="536"/>
      <c r="K130" s="536"/>
      <c r="L130" s="536"/>
      <c r="M130" s="537"/>
      <c r="N130" s="1154"/>
      <c r="O130" s="1154"/>
      <c r="P130" s="2673"/>
      <c r="Q130" s="504"/>
    </row>
    <row r="131" spans="1:17" ht="15" thickTop="1">
      <c r="A131" s="599"/>
      <c r="B131" s="546">
        <f>B47</f>
        <v>111</v>
      </c>
      <c r="C131" s="523"/>
      <c r="D131" s="523"/>
      <c r="E131" s="523"/>
      <c r="F131" s="523"/>
      <c r="G131" s="587"/>
      <c r="H131" s="587"/>
      <c r="I131" s="587"/>
      <c r="J131" s="587"/>
      <c r="K131" s="523"/>
      <c r="L131" s="524"/>
      <c r="M131" s="590"/>
      <c r="N131" s="1153"/>
      <c r="O131" s="1153"/>
      <c r="P131" s="2673"/>
      <c r="Q131" s="504"/>
    </row>
    <row r="132" spans="1:17" ht="15.75" thickBot="1">
      <c r="A132" s="2625"/>
      <c r="B132" s="569"/>
      <c r="C132" s="570"/>
      <c r="D132" s="570"/>
      <c r="E132" s="570"/>
      <c r="F132" s="570"/>
      <c r="G132" s="591"/>
      <c r="H132" s="591"/>
      <c r="I132" s="591"/>
      <c r="J132" s="591"/>
      <c r="K132" s="591"/>
      <c r="L132" s="591"/>
      <c r="M132" s="592"/>
      <c r="N132" s="1154"/>
      <c r="O132" s="1154"/>
      <c r="P132" s="267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9" zoomScale="85" zoomScaleNormal="85"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3056</v>
      </c>
      <c r="D1" s="1820" t="s">
        <v>70</v>
      </c>
      <c r="E1" s="1821" t="s">
        <v>1387</v>
      </c>
      <c r="F1" s="1284">
        <f ca="1">J53</f>
        <v>36.950000000000003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f ca="1">ROUND(D2/10000,0)</f>
        <v>3696</v>
      </c>
      <c r="C2" s="1845" t="s">
        <v>1591</v>
      </c>
      <c r="D2" s="1938">
        <f ca="1">C40+J29+L46</f>
        <v>36961874</v>
      </c>
      <c r="E2" s="1846" t="s">
        <v>1592</v>
      </c>
      <c r="F2" s="1847"/>
      <c r="G2" s="1848"/>
      <c r="H2" s="1840"/>
      <c r="I2" s="1840"/>
      <c r="J2" s="1840"/>
      <c r="K2" s="1841"/>
      <c r="L2" s="1840"/>
      <c r="M2" s="1840"/>
    </row>
    <row r="3" spans="1:37" ht="18" customHeight="1" thickBot="1">
      <c r="A3" s="1849" t="s">
        <v>1593</v>
      </c>
      <c r="B3" s="1850">
        <f ca="1">IF(ISERROR(D2/F43),0,ROUND(D2/F43,0))</f>
        <v>20387</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2087091</v>
      </c>
      <c r="D5" s="1822" t="s">
        <v>1601</v>
      </c>
      <c r="E5" s="1294"/>
      <c r="F5" s="1295"/>
      <c r="G5" s="1851"/>
      <c r="H5" s="344">
        <v>1</v>
      </c>
      <c r="I5" s="345" t="s">
        <v>1600</v>
      </c>
      <c r="J5" s="1293">
        <f ca="1">J6+J10+J12</f>
        <v>0</v>
      </c>
      <c r="K5" s="1822" t="s">
        <v>1601</v>
      </c>
      <c r="L5" s="1294"/>
      <c r="M5" s="1295"/>
    </row>
    <row r="6" spans="1:37" ht="18" customHeight="1">
      <c r="A6" s="1292" t="s">
        <v>1035</v>
      </c>
      <c r="B6" s="3171" t="s">
        <v>1403</v>
      </c>
      <c r="C6" s="1297">
        <f ca="1">ROUND(F6*F8*F7*(1-F9),0)</f>
        <v>2084485</v>
      </c>
      <c r="D6" s="164" t="s">
        <v>3019</v>
      </c>
      <c r="E6" s="347" t="s">
        <v>1405</v>
      </c>
      <c r="F6" s="348">
        <f ca="1">INDIRECT("'数据-取费表'!u"&amp;$G$1)</f>
        <v>3.5</v>
      </c>
      <c r="G6" s="1851"/>
      <c r="H6" s="1292" t="s">
        <v>1035</v>
      </c>
      <c r="I6" s="3171" t="s">
        <v>1403</v>
      </c>
      <c r="J6" s="346">
        <f ca="1">ROUND(M6*M8*M7*(1-M9),0)</f>
        <v>0</v>
      </c>
      <c r="K6" s="1834" t="s">
        <v>3020</v>
      </c>
      <c r="L6" s="347" t="s">
        <v>1405</v>
      </c>
      <c r="M6" s="348">
        <f ca="1">INDIRECT("'数据-取费表'!z"&amp;$G$1)</f>
        <v>0</v>
      </c>
    </row>
    <row r="7" spans="1:37" ht="18" customHeight="1">
      <c r="A7" s="1296"/>
      <c r="B7" s="3172"/>
      <c r="C7" s="1298"/>
      <c r="D7" s="352"/>
      <c r="E7" s="1299" t="s">
        <v>1406</v>
      </c>
      <c r="F7" s="348">
        <f ca="1">IF(INDIRECT("'数据-取费表'!ah"&amp;$G$1)="",INDIRECT("'数据-取费表'!k"&amp;$G$1),INDIRECT("'数据-取费表'!ah"&amp;$G$1))</f>
        <v>1812.99</v>
      </c>
      <c r="G7" s="1851"/>
      <c r="H7" s="349"/>
      <c r="I7" s="3172"/>
      <c r="J7" s="351"/>
      <c r="K7" s="352"/>
      <c r="L7" s="347" t="s">
        <v>1406</v>
      </c>
      <c r="M7" s="348">
        <f ca="1">F7</f>
        <v>1812.99</v>
      </c>
    </row>
    <row r="8" spans="1:37" ht="18" customHeight="1">
      <c r="A8" s="349"/>
      <c r="B8" s="3172"/>
      <c r="C8" s="351"/>
      <c r="D8" s="352"/>
      <c r="E8" s="347" t="s">
        <v>1407</v>
      </c>
      <c r="F8" s="348">
        <f ca="1">INDIRECT("'数据-取费表'!ai"&amp;$G$1)</f>
        <v>365</v>
      </c>
      <c r="G8" s="1851"/>
      <c r="H8" s="349"/>
      <c r="I8" s="3172"/>
      <c r="J8" s="351"/>
      <c r="K8" s="352"/>
      <c r="L8" s="347" t="s">
        <v>1407</v>
      </c>
      <c r="M8" s="348">
        <f ca="1">INDIRECT("'数据-取费表'!ai"&amp;$G$1)</f>
        <v>365</v>
      </c>
    </row>
    <row r="9" spans="1:37" ht="18" customHeight="1">
      <c r="A9" s="349"/>
      <c r="B9" s="3173"/>
      <c r="C9" s="351"/>
      <c r="D9" s="352"/>
      <c r="E9" s="347" t="s">
        <v>1408</v>
      </c>
      <c r="F9" s="357">
        <f ca="1">INDIRECT("'数据-取费表'!w"&amp;$G$1)</f>
        <v>0.1</v>
      </c>
      <c r="G9" s="1851"/>
      <c r="H9" s="349"/>
      <c r="I9" s="3173"/>
      <c r="J9" s="351"/>
      <c r="K9" s="352"/>
      <c r="L9" s="358" t="s">
        <v>1408</v>
      </c>
      <c r="M9" s="359">
        <f ca="1">INDIRECT("'数据-取费表'!ab"&amp;$G$1)</f>
        <v>0</v>
      </c>
    </row>
    <row r="10" spans="1:37" ht="18" customHeight="1">
      <c r="A10" s="1292" t="s">
        <v>1039</v>
      </c>
      <c r="B10" s="1823" t="s">
        <v>1409</v>
      </c>
      <c r="C10" s="361">
        <f ca="1">ROUND(IF(F10="押一",C6/12*F11,IF(F10="押二",C6/12*2*F11,IF(F10="押三",C6/12*3*F11,C11*F11))),0)</f>
        <v>2606</v>
      </c>
      <c r="D10" s="1824" t="s">
        <v>3030</v>
      </c>
      <c r="E10" s="358" t="s">
        <v>1410</v>
      </c>
      <c r="F10" s="1367" t="s">
        <v>3107</v>
      </c>
      <c r="G10" s="1851"/>
      <c r="H10" s="1292" t="s">
        <v>1039</v>
      </c>
      <c r="I10" s="1823" t="s">
        <v>1409</v>
      </c>
      <c r="J10" s="346">
        <f ca="1">ROUND(IF(M10="押一",J6/12*M11,IF(M10="押二",J6/12*2*M11,IF(M10="押三",J6/12*3*M11,J11*M11))),0)</f>
        <v>0</v>
      </c>
      <c r="K10" s="1835" t="s">
        <v>3032</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8"/>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6087908</v>
      </c>
      <c r="D13" s="1332" t="s">
        <v>1415</v>
      </c>
      <c r="E13" s="1332" t="s">
        <v>1416</v>
      </c>
      <c r="F13" s="1333">
        <f ca="1">INDIRECT("'数据-取费表'!y"&amp;$G$1)</f>
        <v>0.82</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5076372</v>
      </c>
      <c r="D14" s="1800" t="s">
        <v>1418</v>
      </c>
      <c r="E14" s="1794"/>
      <c r="F14" s="364"/>
      <c r="G14" s="1851"/>
      <c r="H14" s="1202" t="s">
        <v>1035</v>
      </c>
      <c r="I14" s="347" t="s">
        <v>1419</v>
      </c>
      <c r="J14" s="24">
        <f ca="1">C29</f>
        <v>7424278</v>
      </c>
      <c r="K14" s="15"/>
      <c r="L14" s="982"/>
      <c r="M14" s="983"/>
    </row>
    <row r="15" spans="1:37" s="1858" customFormat="1" ht="18" customHeight="1" thickBot="1">
      <c r="A15" s="1202" t="s">
        <v>1036</v>
      </c>
      <c r="B15" s="347" t="s">
        <v>1420</v>
      </c>
      <c r="C15" s="24">
        <f ca="1">ROUND(C14*F15,0)</f>
        <v>152291</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176728</v>
      </c>
      <c r="K16" s="1338" t="s">
        <v>1425</v>
      </c>
      <c r="L16" s="1339"/>
      <c r="M16" s="1295"/>
    </row>
    <row r="17" spans="1:37" s="1858" customFormat="1" ht="18" customHeight="1">
      <c r="A17" s="1202" t="s">
        <v>1390</v>
      </c>
      <c r="B17" s="347" t="s">
        <v>1426</v>
      </c>
      <c r="C17" s="24">
        <f ca="1">ROUND(F17*(F43+INDIRECT("'数据-取费表'!S"&amp;$G$1)),0)</f>
        <v>362598</v>
      </c>
      <c r="D17" s="347" t="s">
        <v>1427</v>
      </c>
      <c r="E17" s="347" t="s">
        <v>1428</v>
      </c>
      <c r="F17" s="26">
        <f>'数据-取费表'!B35</f>
        <v>200</v>
      </c>
      <c r="G17" s="1854"/>
      <c r="H17" s="1202" t="s">
        <v>1035</v>
      </c>
      <c r="I17" s="347" t="s">
        <v>1429</v>
      </c>
      <c r="J17" s="24">
        <f ca="1">ROUND(IF(项目基本情况!B11="自然人",J5*M17,J18+J19+J20),0)</f>
        <v>65364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76146</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5667407</v>
      </c>
      <c r="D19" s="140" t="s">
        <v>1436</v>
      </c>
      <c r="E19" s="1818"/>
      <c r="F19" s="26"/>
      <c r="G19" s="1851"/>
      <c r="H19" s="1202" t="s">
        <v>1036</v>
      </c>
      <c r="I19" s="347" t="s">
        <v>1437</v>
      </c>
      <c r="J19" s="24">
        <f ca="1">IF(K19="按租金收入计税",ROUND(J5*M19,0),ROUND(C29*M19*0.7,0))</f>
        <v>62364</v>
      </c>
      <c r="K19" s="1828" t="s">
        <v>1438</v>
      </c>
      <c r="L19" s="347" t="s">
        <v>1422</v>
      </c>
      <c r="M19" s="367">
        <f>IF(K19="按租金收入计税",'数据-取费表'!B51,'数据-取费表'!B50)</f>
        <v>1.2E-2</v>
      </c>
    </row>
    <row r="20" spans="1:37" s="1858" customFormat="1" ht="18" customHeight="1">
      <c r="A20" s="1202" t="s">
        <v>1039</v>
      </c>
      <c r="B20" s="347" t="s">
        <v>1439</v>
      </c>
      <c r="C20" s="24">
        <f ca="1">ROUND(C19*F20,0)</f>
        <v>113348</v>
      </c>
      <c r="D20" s="369" t="s">
        <v>1440</v>
      </c>
      <c r="E20" s="347" t="s">
        <v>1422</v>
      </c>
      <c r="F20" s="367">
        <f>'数据-取费表'!B37</f>
        <v>0.02</v>
      </c>
      <c r="G20" s="1854"/>
      <c r="H20" s="1202" t="s">
        <v>1389</v>
      </c>
      <c r="I20" s="164" t="s">
        <v>1441</v>
      </c>
      <c r="J20" s="25">
        <f ca="1">ROUND(M20*M21,0)</f>
        <v>3000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0.02</v>
      </c>
      <c r="G21" s="1854"/>
      <c r="H21" s="372"/>
      <c r="I21" s="356"/>
      <c r="J21" s="29"/>
      <c r="K21" s="373"/>
      <c r="L21" s="347" t="s">
        <v>1447</v>
      </c>
      <c r="M21" s="348">
        <f ca="1">INDIRECT("'数据-取费表'!r"&amp;$G$1)</f>
        <v>1000.01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111364</v>
      </c>
      <c r="K22" s="1798" t="s">
        <v>1450</v>
      </c>
      <c r="L22" s="347" t="s">
        <v>1422</v>
      </c>
      <c r="M22" s="374">
        <f ca="1">INDIRECT("'数据-取费表'!Ak"&amp;$G$1)</f>
        <v>1.4999999999999999E-2</v>
      </c>
    </row>
    <row r="23" spans="1:37" s="1858" customFormat="1" ht="18" customHeight="1">
      <c r="A23" s="1202" t="s">
        <v>1034</v>
      </c>
      <c r="B23" s="347" t="s">
        <v>1451</v>
      </c>
      <c r="C23" s="24">
        <f ca="1">IF('数据-取费表'!B22&lt;=1,ROUND(C19*F24*F23/2,0)+ROUND(C20*F24*F23/2,0),ROUND(C19*(POWER((1+F24),F23/2)-1),0)+ROUND(C20*(POWER((1+F24),F23/2)-1),0))</f>
        <v>204741</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ROUND(J13*M23,0)</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-176728</v>
      </c>
      <c r="K25" s="1346" t="s">
        <v>1464</v>
      </c>
      <c r="L25" s="1347"/>
      <c r="M25" s="1348"/>
    </row>
    <row r="26" spans="1:37" ht="18" customHeight="1">
      <c r="A26" s="1202" t="s">
        <v>1034</v>
      </c>
      <c r="B26" s="347" t="s">
        <v>1465</v>
      </c>
      <c r="C26" s="24">
        <f ca="1">ROUND((C19+C20)*F26,0)</f>
        <v>867113</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3.0000000000000001E-3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7424278</v>
      </c>
      <c r="D29" s="1343"/>
      <c r="E29" s="1341"/>
      <c r="F29" s="1344"/>
      <c r="G29" s="1854"/>
      <c r="H29" s="380" t="s">
        <v>1033</v>
      </c>
      <c r="I29" s="381" t="s">
        <v>1479</v>
      </c>
      <c r="J29" s="382">
        <f ca="1">ROUND(J26/(1+F40)^F41,0)</f>
        <v>0</v>
      </c>
      <c r="K29" s="383" t="s">
        <v>1480</v>
      </c>
      <c r="L29" s="384"/>
      <c r="M29" s="385">
        <f ca="1">INDIRECT("'数据-取费表'!k"&amp;$G$1)</f>
        <v>1812.99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519609</v>
      </c>
      <c r="D30" s="1338" t="s">
        <v>1425</v>
      </c>
      <c r="E30" s="1339"/>
      <c r="F30" s="1295"/>
      <c r="G30" s="1851"/>
      <c r="H30" s="745"/>
      <c r="I30" s="746"/>
      <c r="J30" s="747"/>
      <c r="K30" s="748"/>
      <c r="L30" s="749"/>
      <c r="M30" s="750"/>
    </row>
    <row r="31" spans="1:37" ht="18" customHeight="1">
      <c r="A31" s="1202" t="s">
        <v>1035</v>
      </c>
      <c r="B31" s="347" t="s">
        <v>1429</v>
      </c>
      <c r="C31" s="24">
        <f ca="1">ROUND(IF(项目基本情况!B11="自然人",C5*F31,C32+C33+C34),0)</f>
        <v>364763</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1433</v>
      </c>
      <c r="C32" s="24">
        <f ca="1">IF(项目基本情况!B11="自然人","——",ROUND(C5*F32/(1+'数据-取费表'!C42),0))</f>
        <v>111312</v>
      </c>
      <c r="D32" s="1798" t="s">
        <v>1434</v>
      </c>
      <c r="E32" s="347" t="s">
        <v>1422</v>
      </c>
      <c r="F32" s="377">
        <f>'数据-取费表'!B41</f>
        <v>5.6000000000000001E-2</v>
      </c>
      <c r="G32" s="1851"/>
      <c r="H32" s="745"/>
      <c r="I32" s="746"/>
      <c r="J32" s="747"/>
      <c r="K32" s="748"/>
      <c r="L32" s="749"/>
      <c r="M32" s="750"/>
    </row>
    <row r="33" spans="1:18" ht="18" customHeight="1">
      <c r="A33" s="1202" t="s">
        <v>1036</v>
      </c>
      <c r="B33" s="347" t="s">
        <v>1437</v>
      </c>
      <c r="C33" s="24">
        <f ca="1">IF(项目基本情况!B11="自然人","——",IF(D33="按租金收入计税",ROUND(C5*F33,0),IF(D33="按房产原值计税",ROUND(C29*F33*0.7,0),INDIRECT("'数据-取费表'!Aj"&amp;$G$1))))</f>
        <v>250451</v>
      </c>
      <c r="D33" s="1828" t="s">
        <v>3108</v>
      </c>
      <c r="E33" s="347" t="s">
        <v>1422</v>
      </c>
      <c r="F33" s="367">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f>
        <v>3000</v>
      </c>
      <c r="D34" s="370" t="s">
        <v>1442</v>
      </c>
      <c r="E34" s="347" t="s">
        <v>1443</v>
      </c>
      <c r="F34" s="371">
        <f>'数据-取费表'!B52</f>
        <v>3</v>
      </c>
      <c r="G34" s="1851"/>
      <c r="H34" s="745"/>
      <c r="I34" s="1860"/>
      <c r="J34" s="1861"/>
      <c r="K34" s="1863"/>
      <c r="L34" s="1864"/>
      <c r="M34" s="1864"/>
    </row>
    <row r="35" spans="1:18" ht="18" customHeight="1">
      <c r="A35" s="1354"/>
      <c r="B35" s="1352"/>
      <c r="C35" s="29"/>
      <c r="D35" s="373"/>
      <c r="E35" s="347" t="s">
        <v>1447</v>
      </c>
      <c r="F35" s="348">
        <f ca="1">INDIRECT("'数据-取费表'!r"&amp;$G$1)</f>
        <v>1000.01</v>
      </c>
      <c r="G35" s="1851"/>
      <c r="H35" s="745"/>
      <c r="I35" s="1860"/>
      <c r="J35" s="1861"/>
      <c r="K35" s="1862"/>
      <c r="L35" s="1859"/>
      <c r="M35" s="1859"/>
    </row>
    <row r="36" spans="1:18" ht="18" customHeight="1">
      <c r="A36" s="1353" t="s">
        <v>1039</v>
      </c>
      <c r="B36" s="347" t="s">
        <v>1449</v>
      </c>
      <c r="C36" s="24">
        <f ca="1">ROUND(C29*F36,0)</f>
        <v>111364</v>
      </c>
      <c r="D36" s="1798" t="s">
        <v>1482</v>
      </c>
      <c r="E36" s="347" t="s">
        <v>1422</v>
      </c>
      <c r="F36" s="374">
        <f ca="1">INDIRECT("'数据-取费表'!Ak"&amp;$G$1)</f>
        <v>1.4999999999999999E-2</v>
      </c>
      <c r="G36" s="1851"/>
      <c r="H36" s="1859"/>
      <c r="I36" s="1860"/>
      <c r="J36" s="1861"/>
      <c r="K36" s="751"/>
      <c r="L36" s="1859"/>
      <c r="M36" s="1859"/>
    </row>
    <row r="37" spans="1:18" ht="18" customHeight="1">
      <c r="A37" s="1202" t="s">
        <v>1075</v>
      </c>
      <c r="B37" s="347" t="s">
        <v>1453</v>
      </c>
      <c r="C37" s="24">
        <f ca="1">ROUND(C13*F37,0)</f>
        <v>12176</v>
      </c>
      <c r="D37" s="1798" t="s">
        <v>1454</v>
      </c>
      <c r="E37" s="347" t="s">
        <v>1455</v>
      </c>
      <c r="F37" s="376">
        <f ca="1">INDIRECT("'数据-取费表'!Al"&amp;$G$1)</f>
        <v>2E-3</v>
      </c>
      <c r="G37" s="1851"/>
      <c r="H37" s="1859"/>
      <c r="I37" s="1860"/>
      <c r="J37" s="1861"/>
      <c r="K37" s="751"/>
      <c r="L37" s="1859"/>
      <c r="M37" s="1859"/>
    </row>
    <row r="38" spans="1:18" ht="18" customHeight="1" thickBot="1">
      <c r="A38" s="1340" t="s">
        <v>1393</v>
      </c>
      <c r="B38" s="1341" t="s">
        <v>1439</v>
      </c>
      <c r="C38" s="1342">
        <f ca="1">ROUND(C5*F38,1)</f>
        <v>31306.400000000001</v>
      </c>
      <c r="D38" s="1343" t="s">
        <v>1459</v>
      </c>
      <c r="E38" s="1341" t="s">
        <v>1455</v>
      </c>
      <c r="F38" s="1337">
        <f ca="1">INDIRECT("'数据-取费表'!Am"&amp;$G$1)</f>
        <v>1.4999999999999999E-2</v>
      </c>
      <c r="G38" s="1851"/>
      <c r="H38" s="1859"/>
      <c r="I38" s="1860"/>
      <c r="J38" s="1861"/>
      <c r="K38" s="1865"/>
      <c r="L38" s="1859"/>
      <c r="M38" s="1859"/>
    </row>
    <row r="39" spans="1:18" ht="24.6" customHeight="1" thickTop="1">
      <c r="A39" s="1330" t="s">
        <v>1031</v>
      </c>
      <c r="B39" s="1345" t="s">
        <v>1483</v>
      </c>
      <c r="C39" s="355">
        <f ca="1">C5-C30</f>
        <v>1567482</v>
      </c>
      <c r="D39" s="1346" t="s">
        <v>1484</v>
      </c>
      <c r="E39" s="1347"/>
      <c r="F39" s="1348"/>
      <c r="G39" s="1851"/>
      <c r="H39" s="1859"/>
      <c r="I39" s="1860"/>
      <c r="J39" s="1861"/>
      <c r="K39" s="1865"/>
      <c r="L39" s="1859"/>
      <c r="M39" s="1859"/>
    </row>
    <row r="40" spans="1:18" ht="18" customHeight="1">
      <c r="A40" s="344" t="s">
        <v>1032</v>
      </c>
      <c r="B40" s="345" t="s">
        <v>1485</v>
      </c>
      <c r="C40" s="346">
        <f ca="1">ROUND(C39*(1-((1+F42)/(1+F40))^F41)/(F40-F42),0)</f>
        <v>36961874</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36.950000000000003</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ROUND(C40/F43,0)</f>
        <v>20387</v>
      </c>
      <c r="D43" s="383" t="s">
        <v>1488</v>
      </c>
      <c r="E43" s="384" t="s">
        <v>1489</v>
      </c>
      <c r="F43" s="385">
        <f ca="1">INDIRECT("'数据-取费表'!k"&amp;$G$1)</f>
        <v>1812.99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f ca="1">C68-C40</f>
        <v>-54651405</v>
      </c>
      <c r="D45" s="1940" t="s">
        <v>1604</v>
      </c>
      <c r="E45" s="1866"/>
      <c r="F45" s="1866"/>
      <c r="O45" s="1869" t="s">
        <v>1519</v>
      </c>
      <c r="P45" s="1839"/>
      <c r="Q45" s="1839"/>
      <c r="R45" s="1839"/>
    </row>
    <row r="46" spans="1:18" s="1842" customFormat="1" ht="13.5" thickBot="1">
      <c r="A46" s="1870" t="s">
        <v>1520</v>
      </c>
      <c r="C46" s="1871">
        <f ca="1">ROUND(C45/10000,0)</f>
        <v>-5465</v>
      </c>
      <c r="D46" s="1872" t="str">
        <f>C2</f>
        <v>万元</v>
      </c>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2"/>
      <c r="I47" s="1880" t="s">
        <v>1526</v>
      </c>
      <c r="J47" s="1881" t="s">
        <v>3087</v>
      </c>
      <c r="K47" s="1882" t="s">
        <v>1527</v>
      </c>
      <c r="L47" s="1883">
        <f ca="1">INDIRECT("'数据-取费表'!d"&amp;$G$1)</f>
        <v>50</v>
      </c>
      <c r="M47" s="1838" t="str">
        <f>IF(ISNUMBER(FIND("住宅",C1)),"住宅","非住宅")</f>
        <v>非住宅</v>
      </c>
      <c r="O47" s="1884" t="s">
        <v>1040</v>
      </c>
      <c r="P47" s="1885" t="s">
        <v>1528</v>
      </c>
      <c r="Q47" s="1886">
        <f ca="1">C40+J29</f>
        <v>36961874</v>
      </c>
      <c r="R47" s="1886" t="s">
        <v>1529</v>
      </c>
    </row>
    <row r="48" spans="1:18" s="1842" customFormat="1" ht="28.5" thickBot="1">
      <c r="A48" s="1361" t="s">
        <v>1135</v>
      </c>
      <c r="B48" s="345" t="s">
        <v>1401</v>
      </c>
      <c r="C48" s="1817">
        <f ca="1">C49+C53+C55</f>
        <v>0</v>
      </c>
      <c r="D48" s="1363"/>
      <c r="E48" s="1364"/>
      <c r="F48" s="1182"/>
      <c r="G48" s="792"/>
      <c r="H48" s="793"/>
      <c r="I48" s="1887" t="s">
        <v>1530</v>
      </c>
      <c r="J48" s="1888" t="s">
        <v>3109</v>
      </c>
      <c r="K48" s="1889" t="s">
        <v>1531</v>
      </c>
      <c r="L48" s="1890">
        <f ca="1">INDIRECT("'数据-取费表'!f"&amp;$G$1)</f>
        <v>36.950000000000003</v>
      </c>
      <c r="O48" s="1884" t="s">
        <v>1041</v>
      </c>
      <c r="P48" s="1885" t="s">
        <v>1532</v>
      </c>
      <c r="Q48" s="1886" t="str">
        <f ca="1">J60</f>
        <v>0</v>
      </c>
      <c r="R48" s="1886" t="s">
        <v>1533</v>
      </c>
    </row>
    <row r="49" spans="1:18" s="1842" customFormat="1" ht="13.5" thickBot="1">
      <c r="A49" s="1195" t="s">
        <v>1136</v>
      </c>
      <c r="B49" s="1829" t="s">
        <v>1490</v>
      </c>
      <c r="C49" s="1365">
        <f ca="1">ROUND(F49*F51*F50*(1-F52),0)</f>
        <v>0</v>
      </c>
      <c r="D49" s="1277" t="s">
        <v>1404</v>
      </c>
      <c r="E49" s="1830" t="s">
        <v>1491</v>
      </c>
      <c r="F49" s="1282"/>
      <c r="G49" s="1891"/>
      <c r="H49" s="793"/>
      <c r="I49" s="1887" t="s">
        <v>1534</v>
      </c>
      <c r="J49" s="1892">
        <v>2007</v>
      </c>
      <c r="K49" s="1889" t="s">
        <v>1535</v>
      </c>
      <c r="L49" s="1893"/>
      <c r="O49" s="1894" t="s">
        <v>1042</v>
      </c>
      <c r="P49" s="1885" t="s">
        <v>1536</v>
      </c>
      <c r="Q49" s="1886">
        <f ca="1">C29</f>
        <v>7424278</v>
      </c>
      <c r="R49" s="1886" t="s">
        <v>1529</v>
      </c>
    </row>
    <row r="50" spans="1:18" s="1842" customFormat="1" ht="13.5" thickBot="1">
      <c r="A50" s="1196"/>
      <c r="B50" s="1199"/>
      <c r="C50" s="1200"/>
      <c r="D50" s="1173"/>
      <c r="E50" s="1278" t="s">
        <v>1406</v>
      </c>
      <c r="F50" s="1279">
        <f ca="1">F7</f>
        <v>1812.99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8">
        <f ca="1">F8</f>
        <v>365</v>
      </c>
      <c r="I51" s="1898" t="s">
        <v>1540</v>
      </c>
      <c r="J51" s="1899">
        <f>IF(J49="",J50,J49+J50-YEAR('数据-取费表'!B2))</f>
        <v>49</v>
      </c>
      <c r="K51" s="1900" t="s">
        <v>1541</v>
      </c>
      <c r="L51" s="1901">
        <f ca="1">ROUND(-PV(INDIRECT("'数据-取费表'!h"&amp;$G$1),L48,(C39-C13*C76),0),0)</f>
        <v>18745441</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36.950000000000003</v>
      </c>
      <c r="R52" s="1886" t="s">
        <v>1546</v>
      </c>
    </row>
    <row r="53" spans="1:18" s="1842" customFormat="1" ht="30.75" customHeight="1" thickBot="1">
      <c r="A53" s="1362" t="s">
        <v>1137</v>
      </c>
      <c r="B53" s="369" t="s">
        <v>1409</v>
      </c>
      <c r="C53" s="361">
        <f ca="1">ROUND(IF(F53="押一",C49/12*F11,IF(F53="押二",C49/12*2*F11,IF(F53="押三",C49/12*3*F11,C54*F11))),0)</f>
        <v>0</v>
      </c>
      <c r="D53" s="1824" t="s">
        <v>3033</v>
      </c>
      <c r="E53" s="358"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36.950000000000003</v>
      </c>
      <c r="K53" s="3169" t="s">
        <v>1548</v>
      </c>
      <c r="L53" s="3170"/>
      <c r="O53" s="1884" t="s">
        <v>1046</v>
      </c>
      <c r="P53" s="1885" t="s">
        <v>1549</v>
      </c>
      <c r="Q53" s="1886">
        <f ca="1">Q47+Q48</f>
        <v>36961874</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#VALUE!</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6087908</v>
      </c>
      <c r="D56" s="1914"/>
      <c r="E56" s="1915"/>
      <c r="F56" s="1907"/>
      <c r="I56" s="1916" t="s">
        <v>1554</v>
      </c>
      <c r="J56" s="2977" t="s">
        <v>3046</v>
      </c>
      <c r="K56" s="1887" t="s">
        <v>1555</v>
      </c>
      <c r="L56" s="1890" t="str">
        <f ca="1">IF(L48&lt;J51,"——",L48-J51)</f>
        <v>——</v>
      </c>
      <c r="O56" s="1884" t="s">
        <v>1040</v>
      </c>
      <c r="P56" s="1885" t="s">
        <v>1528</v>
      </c>
      <c r="Q56" s="1886">
        <f ca="1">C40+J29</f>
        <v>36961874</v>
      </c>
      <c r="R56" s="1886" t="s">
        <v>1529</v>
      </c>
    </row>
    <row r="57" spans="1:18" s="1842" customFormat="1" ht="24.75" thickBot="1">
      <c r="A57" s="1918"/>
      <c r="B57" s="1170" t="s">
        <v>1478</v>
      </c>
      <c r="C57" s="282">
        <f ca="1">C29</f>
        <v>7424278</v>
      </c>
      <c r="D57" s="1919"/>
      <c r="E57" s="1920"/>
      <c r="F57" s="1921"/>
      <c r="I57" s="1922" t="s">
        <v>1556</v>
      </c>
      <c r="J57" s="1923" t="str">
        <f ca="1">IF(OR(M47="住宅",J51&lt;L48,J56="是"),"——",J51-L48)</f>
        <v>——</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8" t="s">
        <v>1424</v>
      </c>
      <c r="C58" s="361">
        <f ca="1">ROUND(C59+C64+C65+C66,0)</f>
        <v>750179</v>
      </c>
      <c r="D58" s="1180" t="s">
        <v>1425</v>
      </c>
      <c r="E58" s="1181"/>
      <c r="F58" s="1182"/>
      <c r="I58" s="1922" t="s">
        <v>1560</v>
      </c>
      <c r="J58" s="1924" t="e">
        <f ca="1">IF(J55&lt;0.4,0.4,J55)</f>
        <v>#VALUE!</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626639</v>
      </c>
      <c r="D59" s="1183" t="s">
        <v>1430</v>
      </c>
      <c r="E59" s="1184"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623639</v>
      </c>
      <c r="D61" s="1828" t="s">
        <v>1438</v>
      </c>
      <c r="E61" s="1170"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5">
        <f ca="1">IF(项目基本情况!B11="自然人","——",ROUND(F62*F63,0))</f>
        <v>3000</v>
      </c>
      <c r="D62" s="1185" t="s">
        <v>1497</v>
      </c>
      <c r="E62" s="1170" t="s">
        <v>1498</v>
      </c>
      <c r="F62" s="371">
        <f t="shared" si="0"/>
        <v>3</v>
      </c>
      <c r="I62" s="1929" t="s">
        <v>1570</v>
      </c>
      <c r="J62" s="1930" t="s">
        <v>1571</v>
      </c>
      <c r="K62" s="1930" t="s">
        <v>1572</v>
      </c>
      <c r="L62" s="1930" t="s">
        <v>1573</v>
      </c>
      <c r="M62" s="1931" t="s">
        <v>1574</v>
      </c>
      <c r="O62" s="1884" t="s">
        <v>1046</v>
      </c>
      <c r="P62" s="1885" t="s">
        <v>1575</v>
      </c>
      <c r="Q62" s="1886">
        <f ca="1">Q56+Q57</f>
        <v>36961874</v>
      </c>
      <c r="R62" s="1886" t="s">
        <v>1047</v>
      </c>
    </row>
    <row r="63" spans="1:18" s="1842" customFormat="1" ht="13.5" thickBot="1">
      <c r="A63" s="372"/>
      <c r="B63" s="1176"/>
      <c r="C63" s="29"/>
      <c r="D63" s="1186"/>
      <c r="E63" s="1170" t="s">
        <v>1499</v>
      </c>
      <c r="F63" s="348">
        <f t="shared" ca="1" si="0"/>
        <v>1000.01</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111364</v>
      </c>
      <c r="D64" s="1184" t="s">
        <v>1502</v>
      </c>
      <c r="E64" s="1170"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12176</v>
      </c>
      <c r="D65" s="1184" t="s">
        <v>1454</v>
      </c>
      <c r="E65" s="1170" t="s">
        <v>1455</v>
      </c>
      <c r="F65" s="376">
        <f t="shared" ca="1" si="0"/>
        <v>2E-3</v>
      </c>
      <c r="I65" s="1929" t="s">
        <v>1579</v>
      </c>
      <c r="J65" s="1930">
        <v>40</v>
      </c>
      <c r="K65" s="1930">
        <v>30</v>
      </c>
      <c r="L65" s="1930">
        <v>50</v>
      </c>
      <c r="M65" s="1932">
        <v>0.02</v>
      </c>
      <c r="O65" s="1884" t="s">
        <v>1040</v>
      </c>
      <c r="P65" s="1885" t="s">
        <v>1580</v>
      </c>
      <c r="Q65" s="1886">
        <f ca="1">C40+J29</f>
        <v>36961874</v>
      </c>
      <c r="R65" s="1886" t="s">
        <v>1529</v>
      </c>
    </row>
    <row r="66" spans="1:18" s="1842" customFormat="1" ht="16.5" thickBot="1">
      <c r="A66" s="1202" t="s">
        <v>1504</v>
      </c>
      <c r="B66" s="1170" t="s">
        <v>1439</v>
      </c>
      <c r="C66" s="24">
        <f ca="1">ROUND(C48*F66,0)</f>
        <v>0</v>
      </c>
      <c r="D66" s="1184" t="s">
        <v>1505</v>
      </c>
      <c r="E66" s="1170" t="s">
        <v>1422</v>
      </c>
      <c r="F66" s="357">
        <f t="shared" ca="1" si="0"/>
        <v>1.4999999999999999E-2</v>
      </c>
      <c r="O66" s="1884" t="s">
        <v>1041</v>
      </c>
      <c r="P66" s="1885" t="s">
        <v>1558</v>
      </c>
      <c r="Q66" s="1886">
        <f ca="1">L60</f>
        <v>0</v>
      </c>
      <c r="R66" s="1886" t="s">
        <v>1581</v>
      </c>
    </row>
    <row r="67" spans="1:18" s="1842" customFormat="1" ht="16.5" thickBot="1">
      <c r="A67" s="1177" t="s">
        <v>1031</v>
      </c>
      <c r="B67" s="1187" t="s">
        <v>1463</v>
      </c>
      <c r="C67" s="361">
        <f ca="1">C48-C58</f>
        <v>-750179</v>
      </c>
      <c r="D67" s="1183" t="s">
        <v>1464</v>
      </c>
      <c r="E67" s="1188"/>
      <c r="F67" s="1189"/>
      <c r="O67" s="1894" t="s">
        <v>1042</v>
      </c>
      <c r="P67" s="1885" t="s">
        <v>1562</v>
      </c>
      <c r="Q67" s="1933">
        <f ca="1">L51</f>
        <v>18745441</v>
      </c>
      <c r="R67" s="1886" t="s">
        <v>1582</v>
      </c>
    </row>
    <row r="68" spans="1:18" s="1842" customFormat="1" ht="16.5" thickBot="1">
      <c r="A68" s="1167" t="s">
        <v>1032</v>
      </c>
      <c r="B68" s="1168" t="s">
        <v>1485</v>
      </c>
      <c r="C68" s="346">
        <f ca="1">ROUND(C67*(1-((1+F70)/(1+F68))^F69)/(F68-F70),0)</f>
        <v>-17689531</v>
      </c>
      <c r="D68" s="1185" t="s">
        <v>1469</v>
      </c>
      <c r="E68" s="1170" t="s">
        <v>1470</v>
      </c>
      <c r="F68" s="357">
        <f ca="1">F40</f>
        <v>0.05</v>
      </c>
      <c r="O68" s="1894" t="s">
        <v>1043</v>
      </c>
      <c r="P68" s="1934" t="s">
        <v>1583</v>
      </c>
      <c r="Q68" s="1886">
        <f ca="1">ROUND(Q69-Q70*Q71,0)</f>
        <v>1050010</v>
      </c>
      <c r="R68" s="1886" t="s">
        <v>1051</v>
      </c>
    </row>
    <row r="69" spans="1:18" s="1842" customFormat="1" ht="13.5" thickBot="1">
      <c r="A69" s="1171"/>
      <c r="B69" s="1172"/>
      <c r="C69" s="351"/>
      <c r="D69" s="1190" t="s">
        <v>1473</v>
      </c>
      <c r="E69" s="1170" t="s">
        <v>1474</v>
      </c>
      <c r="F69" s="379">
        <f ca="1">F41</f>
        <v>36.950000000000003</v>
      </c>
      <c r="O69" s="1894" t="s">
        <v>1048</v>
      </c>
      <c r="P69" s="1934" t="s">
        <v>1584</v>
      </c>
      <c r="Q69" s="1886">
        <f ca="1">C39</f>
        <v>1567482</v>
      </c>
      <c r="R69" s="1886" t="s">
        <v>1529</v>
      </c>
    </row>
    <row r="70" spans="1:18" s="1842" customFormat="1" ht="13.5" thickBot="1">
      <c r="A70" s="1174"/>
      <c r="B70" s="1175"/>
      <c r="C70" s="355"/>
      <c r="D70" s="1186"/>
      <c r="E70" s="1170" t="s">
        <v>1477</v>
      </c>
      <c r="F70" s="1276">
        <f ca="1">F42</f>
        <v>2.5000000000000001E-2</v>
      </c>
      <c r="O70" s="1894" t="s">
        <v>1049</v>
      </c>
      <c r="P70" s="1934" t="s">
        <v>1585</v>
      </c>
      <c r="Q70" s="1886">
        <f ca="1">C13</f>
        <v>6087908</v>
      </c>
      <c r="R70" s="1886" t="s">
        <v>1529</v>
      </c>
    </row>
    <row r="71" spans="1:18" s="1842" customFormat="1" ht="13.5" thickBot="1">
      <c r="A71" s="1191" t="s">
        <v>1033</v>
      </c>
      <c r="B71" s="1192" t="s">
        <v>1487</v>
      </c>
      <c r="C71" s="382">
        <f ca="1">ROUND(C68/F71,0)</f>
        <v>-9757</v>
      </c>
      <c r="D71" s="1193" t="s">
        <v>1488</v>
      </c>
      <c r="E71" s="1194" t="s">
        <v>1489</v>
      </c>
      <c r="F71" s="385">
        <f ca="1">F43</f>
        <v>1812.99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517472</v>
      </c>
      <c r="D75" s="1842"/>
      <c r="E75" s="1842"/>
      <c r="F75" s="1842"/>
      <c r="K75" s="1868"/>
      <c r="L75" s="1842"/>
      <c r="O75" s="1884" t="s">
        <v>1046</v>
      </c>
      <c r="P75" s="1885" t="s">
        <v>1549</v>
      </c>
      <c r="Q75" s="1886">
        <f ca="1">Q65+Q66</f>
        <v>36961874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0.66999999999999993</v>
      </c>
    </row>
    <row r="80" spans="1:18">
      <c r="B80" s="386" t="s">
        <v>1511</v>
      </c>
      <c r="C80" s="318">
        <f ca="1">ROUND(C75/C39,3)</f>
        <v>0.33</v>
      </c>
    </row>
    <row r="81" spans="2:3">
      <c r="B81" s="314" t="s">
        <v>1512</v>
      </c>
      <c r="C81" s="282"/>
    </row>
    <row r="82" spans="2:3">
      <c r="B82" s="317" t="s">
        <v>1513</v>
      </c>
      <c r="C82" s="319">
        <f ca="1">1-C83</f>
        <v>0.83499999999999996</v>
      </c>
    </row>
    <row r="83" spans="2:3">
      <c r="B83" s="317" t="s">
        <v>1514</v>
      </c>
      <c r="C83" s="318">
        <f ca="1">ROUND(C13/C40,3)</f>
        <v>0.16500000000000001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0" t="s">
        <v>2514</v>
      </c>
      <c r="B1" s="2551"/>
      <c r="C1" s="2551"/>
      <c r="D1" s="2551"/>
      <c r="E1" s="2552"/>
    </row>
    <row r="2" spans="1:6" ht="15.75">
      <c r="A2" s="2553" t="s">
        <v>2315</v>
      </c>
      <c r="B2" s="2554">
        <f ca="1">SUMIF(B6:B13,"&lt;&gt;#ref!",B6:B13)</f>
        <v>3696</v>
      </c>
      <c r="C2" s="2555" t="s">
        <v>2507</v>
      </c>
      <c r="D2" s="2556" t="s">
        <v>2508</v>
      </c>
      <c r="E2" s="2557">
        <f>SUM(E6:E13)</f>
        <v>1812.99</v>
      </c>
    </row>
    <row r="3" spans="1:6" ht="15.75">
      <c r="A3" s="2553" t="s">
        <v>1395</v>
      </c>
      <c r="B3" s="2554">
        <f ca="1">ROUND(B2*10000/E2,0)</f>
        <v>20386</v>
      </c>
      <c r="C3" s="2555" t="s">
        <v>2515</v>
      </c>
      <c r="D3" s="2558"/>
      <c r="E3" s="2559"/>
    </row>
    <row r="4" spans="1:6" ht="15.75">
      <c r="A4" s="2560"/>
      <c r="B4" s="2558"/>
      <c r="C4" s="2558"/>
      <c r="D4" s="2558"/>
      <c r="E4" s="2559"/>
    </row>
    <row r="5" spans="1:6" ht="15">
      <c r="A5" s="2561" t="s">
        <v>2509</v>
      </c>
      <c r="B5" s="3227" t="s">
        <v>2510</v>
      </c>
      <c r="C5" s="3227"/>
      <c r="D5" s="2562"/>
      <c r="E5" s="2563" t="s">
        <v>2511</v>
      </c>
      <c r="F5" s="2564" t="s">
        <v>2512</v>
      </c>
    </row>
    <row r="6" spans="1:6">
      <c r="A6" s="2565" t="str">
        <f>'数据-取费表'!AN6</f>
        <v>收益法 (元)</v>
      </c>
      <c r="B6" s="2564">
        <f ca="1">IF(F6="是",'数据-取费表'!AO6,0)</f>
        <v>3696</v>
      </c>
      <c r="C6" s="2555" t="s">
        <v>2507</v>
      </c>
      <c r="D6" s="2558"/>
      <c r="E6" s="2566">
        <f>IF(OR(A6=0,F6="否"),0,'数据-取费表'!K6+'数据-取费表'!S6)</f>
        <v>1812.99</v>
      </c>
      <c r="F6" s="2567" t="s">
        <v>2513</v>
      </c>
    </row>
    <row r="7" spans="1:6">
      <c r="A7" s="2565">
        <f>'数据-取费表'!AN7</f>
        <v>0</v>
      </c>
      <c r="B7" s="2564" t="e">
        <f ca="1">IF(F7="是",'数据-取费表'!AO7,0)</f>
        <v>#REF!</v>
      </c>
      <c r="C7" s="2555" t="s">
        <v>2507</v>
      </c>
      <c r="D7" s="2558"/>
      <c r="E7" s="2566">
        <f>IF(OR(A7=0,F7="否"),0,'数据-取费表'!K7+'数据-取费表'!S7)</f>
        <v>0</v>
      </c>
      <c r="F7" s="2567" t="s">
        <v>2513</v>
      </c>
    </row>
    <row r="8" spans="1:6">
      <c r="A8" s="2565">
        <f>'数据-取费表'!AN8</f>
        <v>0</v>
      </c>
      <c r="B8" s="2564" t="e">
        <f ca="1">IF(F8="是",'数据-取费表'!AO8,0)</f>
        <v>#REF!</v>
      </c>
      <c r="C8" s="2555" t="s">
        <v>2507</v>
      </c>
      <c r="D8" s="2558"/>
      <c r="E8" s="2566">
        <f>IF(OR(A8=0,F8="否"),0,'数据-取费表'!K8+'数据-取费表'!S8)</f>
        <v>0</v>
      </c>
      <c r="F8" s="2567" t="s">
        <v>2513</v>
      </c>
    </row>
    <row r="9" spans="1:6">
      <c r="A9" s="2565">
        <f>'数据-取费表'!AN9</f>
        <v>0</v>
      </c>
      <c r="B9" s="2564" t="e">
        <f ca="1">IF(F9="是",'数据-取费表'!AO9,0)</f>
        <v>#REF!</v>
      </c>
      <c r="C9" s="2555" t="s">
        <v>2507</v>
      </c>
      <c r="D9" s="2558"/>
      <c r="E9" s="2566">
        <f>IF(OR(A9=0,F9="否"),0,'数据-取费表'!K9+'数据-取费表'!S9)</f>
        <v>0</v>
      </c>
      <c r="F9" s="2567" t="s">
        <v>2513</v>
      </c>
    </row>
    <row r="10" spans="1:6">
      <c r="A10" s="2565">
        <f>'数据-取费表'!AN10</f>
        <v>0</v>
      </c>
      <c r="B10" s="2564" t="e">
        <f ca="1">IF(F10="是",'数据-取费表'!AO10,0)</f>
        <v>#REF!</v>
      </c>
      <c r="C10" s="2555" t="s">
        <v>2507</v>
      </c>
      <c r="D10" s="2558"/>
      <c r="E10" s="2566">
        <f>IF(OR(A10=0,F10="否"),0,'数据-取费表'!K10+'数据-取费表'!S10)</f>
        <v>0</v>
      </c>
      <c r="F10" s="2567" t="s">
        <v>2513</v>
      </c>
    </row>
    <row r="11" spans="1:6">
      <c r="A11" s="2565">
        <f>'数据-取费表'!AN11</f>
        <v>0</v>
      </c>
      <c r="B11" s="2564" t="e">
        <f ca="1">IF(F11="是",'数据-取费表'!AO11,0)</f>
        <v>#REF!</v>
      </c>
      <c r="C11" s="2555" t="s">
        <v>2507</v>
      </c>
      <c r="D11" s="2558"/>
      <c r="E11" s="2566">
        <f>IF(OR(A11=0,F11="否"),0,'数据-取费表'!K11+'数据-取费表'!S11)</f>
        <v>0</v>
      </c>
      <c r="F11" s="2567" t="s">
        <v>2513</v>
      </c>
    </row>
    <row r="12" spans="1:6">
      <c r="A12" s="2565">
        <f>'数据-取费表'!AN12</f>
        <v>0</v>
      </c>
      <c r="B12" s="2564" t="e">
        <f ca="1">IF(F12="是",'数据-取费表'!AO12,0)</f>
        <v>#REF!</v>
      </c>
      <c r="C12" s="2555" t="s">
        <v>2507</v>
      </c>
      <c r="D12" s="2558"/>
      <c r="E12" s="2566">
        <f>IF(OR(A12=0,F12="否"),0,'数据-取费表'!K12+'数据-取费表'!S12)</f>
        <v>0</v>
      </c>
      <c r="F12" s="2567" t="s">
        <v>2513</v>
      </c>
    </row>
    <row r="13" spans="1:6" ht="15" thickBot="1">
      <c r="A13" s="2568">
        <f>'数据-取费表'!AN13</f>
        <v>0</v>
      </c>
      <c r="B13" s="2564" t="e">
        <f ca="1">IF(F13="是",'数据-取费表'!AO13,0)</f>
        <v>#REF!</v>
      </c>
      <c r="C13" s="2569" t="s">
        <v>2507</v>
      </c>
      <c r="D13" s="2570"/>
      <c r="E13" s="2566">
        <f>IF(OR(A13=0,F13="否"),0,'数据-取费表'!K13+'数据-取费表'!S13)</f>
        <v>0</v>
      </c>
      <c r="F13" s="256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228" t="s">
        <v>1076</v>
      </c>
      <c r="B1" s="3229"/>
      <c r="C1" s="3230"/>
      <c r="D1" s="3231">
        <f>SUM(I10,I15,I20,I21,I23)</f>
        <v>0</v>
      </c>
      <c r="E1" s="3231"/>
      <c r="F1" s="3231"/>
      <c r="G1" s="3231"/>
      <c r="H1" s="3231"/>
      <c r="I1" s="3232"/>
    </row>
    <row r="2" spans="1:9">
      <c r="A2" s="3233" t="s">
        <v>1077</v>
      </c>
      <c r="B2" s="3234" t="s">
        <v>1078</v>
      </c>
      <c r="C2" s="3234"/>
      <c r="D2" s="1302" t="s">
        <v>1079</v>
      </c>
      <c r="E2" s="1302" t="s">
        <v>1080</v>
      </c>
      <c r="F2" s="1302" t="s">
        <v>1081</v>
      </c>
      <c r="G2" s="1302" t="s">
        <v>1082</v>
      </c>
      <c r="H2" s="1302" t="s">
        <v>1083</v>
      </c>
      <c r="I2" s="1303" t="s">
        <v>1084</v>
      </c>
    </row>
    <row r="3" spans="1:9">
      <c r="A3" s="3233"/>
      <c r="B3" s="3234" t="s">
        <v>1085</v>
      </c>
      <c r="C3" s="3234"/>
      <c r="D3" s="1304"/>
      <c r="E3" s="1302"/>
      <c r="F3" s="1305"/>
      <c r="G3" s="1305"/>
      <c r="H3" s="1306"/>
      <c r="I3" s="1307">
        <f>ROUND(D3*E3*F3*G3*H3/10000,0)</f>
        <v>0</v>
      </c>
    </row>
    <row r="4" spans="1:9">
      <c r="A4" s="3233"/>
      <c r="B4" s="3234" t="s">
        <v>1086</v>
      </c>
      <c r="C4" s="3234"/>
      <c r="D4" s="1304"/>
      <c r="E4" s="1302"/>
      <c r="F4" s="1305"/>
      <c r="G4" s="1305"/>
      <c r="H4" s="1306"/>
      <c r="I4" s="1307">
        <f t="shared" ref="I4:I9" si="0">ROUND(D4*E4*F4*G4*H4/10000,0)</f>
        <v>0</v>
      </c>
    </row>
    <row r="5" spans="1:9">
      <c r="A5" s="3233"/>
      <c r="B5" s="3234" t="s">
        <v>1087</v>
      </c>
      <c r="C5" s="3234"/>
      <c r="D5" s="1304"/>
      <c r="E5" s="1302"/>
      <c r="F5" s="1305"/>
      <c r="G5" s="1305"/>
      <c r="H5" s="1306"/>
      <c r="I5" s="1307">
        <f t="shared" si="0"/>
        <v>0</v>
      </c>
    </row>
    <row r="6" spans="1:9">
      <c r="A6" s="3233"/>
      <c r="B6" s="3234" t="s">
        <v>1088</v>
      </c>
      <c r="C6" s="3234"/>
      <c r="D6" s="1304"/>
      <c r="E6" s="1302"/>
      <c r="F6" s="1305"/>
      <c r="G6" s="1305"/>
      <c r="H6" s="1306"/>
      <c r="I6" s="1307">
        <f t="shared" si="0"/>
        <v>0</v>
      </c>
    </row>
    <row r="7" spans="1:9">
      <c r="A7" s="3233"/>
      <c r="B7" s="3234" t="s">
        <v>1089</v>
      </c>
      <c r="C7" s="3234"/>
      <c r="D7" s="1304"/>
      <c r="E7" s="1302"/>
      <c r="F7" s="1305"/>
      <c r="G7" s="1305"/>
      <c r="H7" s="1306"/>
      <c r="I7" s="1307">
        <f t="shared" si="0"/>
        <v>0</v>
      </c>
    </row>
    <row r="8" spans="1:9">
      <c r="A8" s="3233"/>
      <c r="B8" s="3234" t="s">
        <v>1090</v>
      </c>
      <c r="C8" s="3234"/>
      <c r="D8" s="1304"/>
      <c r="E8" s="1302"/>
      <c r="F8" s="1305"/>
      <c r="G8" s="1305"/>
      <c r="H8" s="1306"/>
      <c r="I8" s="1307">
        <f t="shared" si="0"/>
        <v>0</v>
      </c>
    </row>
    <row r="9" spans="1:9">
      <c r="A9" s="3233"/>
      <c r="B9" s="3234" t="s">
        <v>1091</v>
      </c>
      <c r="C9" s="3234"/>
      <c r="D9" s="1304"/>
      <c r="E9" s="1302"/>
      <c r="F9" s="1305"/>
      <c r="G9" s="1305"/>
      <c r="H9" s="1306"/>
      <c r="I9" s="1307">
        <f t="shared" si="0"/>
        <v>0</v>
      </c>
    </row>
    <row r="10" spans="1:9">
      <c r="A10" s="3233"/>
      <c r="B10" s="3235" t="s">
        <v>1092</v>
      </c>
      <c r="C10" s="3235"/>
      <c r="D10" s="1308"/>
      <c r="E10" s="1308" t="e">
        <f>ROUND(D1*10000/D10/H9,0)</f>
        <v>#DIV/0!</v>
      </c>
      <c r="F10" s="1309"/>
      <c r="G10" s="1309"/>
      <c r="H10" s="1310"/>
      <c r="I10" s="1311">
        <f>SUM(I3:I9)</f>
        <v>0</v>
      </c>
    </row>
    <row r="11" spans="1:9" ht="14.25">
      <c r="A11" s="3233" t="s">
        <v>1093</v>
      </c>
      <c r="B11" s="3234" t="s">
        <v>1094</v>
      </c>
      <c r="C11" s="3234"/>
      <c r="D11" s="1304" t="s">
        <v>1095</v>
      </c>
      <c r="E11" s="1304" t="s">
        <v>1096</v>
      </c>
      <c r="F11" s="1305" t="s">
        <v>1097</v>
      </c>
      <c r="G11" s="1305" t="s">
        <v>1083</v>
      </c>
      <c r="H11" s="1312" t="s">
        <v>1098</v>
      </c>
      <c r="I11" s="1303" t="s">
        <v>1084</v>
      </c>
    </row>
    <row r="12" spans="1:9">
      <c r="A12" s="3233"/>
      <c r="B12" s="3234" t="s">
        <v>1099</v>
      </c>
      <c r="C12" s="3234"/>
      <c r="D12" s="1304"/>
      <c r="E12" s="1304"/>
      <c r="F12" s="1305"/>
      <c r="G12" s="1306"/>
      <c r="H12" s="1313"/>
      <c r="I12" s="1303">
        <f>ROUND(D12*E12*F12*G12/10000,0)</f>
        <v>0</v>
      </c>
    </row>
    <row r="13" spans="1:9">
      <c r="A13" s="3233"/>
      <c r="B13" s="3234" t="s">
        <v>1100</v>
      </c>
      <c r="C13" s="3234"/>
      <c r="D13" s="1304"/>
      <c r="E13" s="1304"/>
      <c r="F13" s="1305"/>
      <c r="G13" s="1306"/>
      <c r="H13" s="1313"/>
      <c r="I13" s="1303">
        <f>ROUND(D13*E13*F13*G13/10000,0)</f>
        <v>0</v>
      </c>
    </row>
    <row r="14" spans="1:9">
      <c r="A14" s="3233"/>
      <c r="B14" s="3234" t="s">
        <v>1101</v>
      </c>
      <c r="C14" s="3234"/>
      <c r="D14" s="1304"/>
      <c r="E14" s="1304"/>
      <c r="F14" s="1305"/>
      <c r="G14" s="1306"/>
      <c r="H14" s="1313"/>
      <c r="I14" s="1303">
        <f>ROUND(D14*E14*F14*G14/10000,0)</f>
        <v>0</v>
      </c>
    </row>
    <row r="15" spans="1:9">
      <c r="A15" s="3233"/>
      <c r="B15" s="3235" t="s">
        <v>1092</v>
      </c>
      <c r="C15" s="3235"/>
      <c r="D15" s="1308"/>
      <c r="E15" s="1308">
        <f>SUM(E12:E14)</f>
        <v>0</v>
      </c>
      <c r="F15" s="1309"/>
      <c r="G15" s="1306"/>
      <c r="H15" s="1313"/>
      <c r="I15" s="1314">
        <f>SUM(I12:I14)</f>
        <v>0</v>
      </c>
    </row>
    <row r="16" spans="1:9" ht="24">
      <c r="A16" s="3233" t="s">
        <v>1102</v>
      </c>
      <c r="B16" s="3234" t="s">
        <v>1103</v>
      </c>
      <c r="C16" s="3234"/>
      <c r="D16" s="1304" t="s">
        <v>1079</v>
      </c>
      <c r="E16" s="1315" t="s">
        <v>1104</v>
      </c>
      <c r="F16" s="1305" t="s">
        <v>1105</v>
      </c>
      <c r="G16" s="1306" t="s">
        <v>1083</v>
      </c>
      <c r="H16" s="1312" t="s">
        <v>1098</v>
      </c>
      <c r="I16" s="1303" t="s">
        <v>1084</v>
      </c>
    </row>
    <row r="17" spans="1:9" ht="14.25">
      <c r="A17" s="3233"/>
      <c r="B17" s="3234" t="s">
        <v>1106</v>
      </c>
      <c r="C17" s="3234"/>
      <c r="D17" s="1304"/>
      <c r="E17" s="1304"/>
      <c r="F17" s="1305"/>
      <c r="G17" s="1306"/>
      <c r="H17" s="1316"/>
      <c r="I17" s="1317">
        <f>ROUND(D17*E17*F17*G17/10000,0)</f>
        <v>0</v>
      </c>
    </row>
    <row r="18" spans="1:9" ht="14.25">
      <c r="A18" s="3233"/>
      <c r="B18" s="3234" t="s">
        <v>1107</v>
      </c>
      <c r="C18" s="3234"/>
      <c r="D18" s="1304"/>
      <c r="E18" s="1304"/>
      <c r="F18" s="1305"/>
      <c r="G18" s="1306"/>
      <c r="H18" s="1316"/>
      <c r="I18" s="1317">
        <f>ROUND(D18*E18*F18*G18/10000,0)</f>
        <v>0</v>
      </c>
    </row>
    <row r="19" spans="1:9" ht="14.25">
      <c r="A19" s="3233"/>
      <c r="B19" s="3234" t="s">
        <v>1108</v>
      </c>
      <c r="C19" s="3234"/>
      <c r="D19" s="1304"/>
      <c r="E19" s="1304"/>
      <c r="F19" s="1305"/>
      <c r="G19" s="1306"/>
      <c r="H19" s="1316"/>
      <c r="I19" s="1317">
        <f>ROUND(D19*E19*F19*G19/10000,0)</f>
        <v>0</v>
      </c>
    </row>
    <row r="20" spans="1:9">
      <c r="A20" s="3233"/>
      <c r="B20" s="3235" t="s">
        <v>1092</v>
      </c>
      <c r="C20" s="3235"/>
      <c r="D20" s="1308">
        <f>SUM(D17:D19)</f>
        <v>0</v>
      </c>
      <c r="E20" s="1308"/>
      <c r="F20" s="1309"/>
      <c r="G20" s="1306"/>
      <c r="H20" s="1313"/>
      <c r="I20" s="1314">
        <f>SUM(I17:I19)</f>
        <v>0</v>
      </c>
    </row>
    <row r="21" spans="1:9">
      <c r="A21" s="3233" t="s">
        <v>1109</v>
      </c>
      <c r="B21" s="3237"/>
      <c r="C21" s="3237"/>
      <c r="D21" s="3237"/>
      <c r="E21" s="3237"/>
      <c r="F21" s="3237"/>
      <c r="G21" s="3237"/>
      <c r="H21" s="1765">
        <v>0.1</v>
      </c>
      <c r="I21" s="1311">
        <f>ROUND(I10*H21,0)</f>
        <v>0</v>
      </c>
    </row>
    <row r="22" spans="1:9" ht="14.25">
      <c r="A22" s="3238" t="s">
        <v>1110</v>
      </c>
      <c r="B22" s="3239"/>
      <c r="C22" s="3240"/>
      <c r="D22" s="1318" t="s">
        <v>1111</v>
      </c>
      <c r="E22" s="1318" t="s">
        <v>1112</v>
      </c>
      <c r="F22" s="1319" t="s">
        <v>1113</v>
      </c>
      <c r="G22" s="1319" t="s">
        <v>1114</v>
      </c>
      <c r="H22" s="1312" t="s">
        <v>1115</v>
      </c>
      <c r="I22" s="1303" t="s">
        <v>1116</v>
      </c>
    </row>
    <row r="23" spans="1:9" ht="14.25" thickBot="1">
      <c r="A23" s="3241"/>
      <c r="B23" s="3242"/>
      <c r="C23" s="3243"/>
      <c r="D23" s="1320"/>
      <c r="E23" s="1320"/>
      <c r="F23" s="1320"/>
      <c r="G23" s="1321"/>
      <c r="H23" s="1322"/>
      <c r="I23" s="1323">
        <f>ROUND(E23*D23*F23*(1-G23)/10000,0)</f>
        <v>0</v>
      </c>
    </row>
    <row r="26" spans="1:9">
      <c r="A26" s="1324" t="s">
        <v>1117</v>
      </c>
      <c r="B26" s="1324"/>
      <c r="C26" s="1324"/>
      <c r="D26" s="1324"/>
      <c r="E26" s="3244">
        <f>C27-C30-C31-C32</f>
        <v>0</v>
      </c>
      <c r="F26" s="3244"/>
      <c r="G26" s="3244"/>
      <c r="H26" s="1737" t="s">
        <v>1340</v>
      </c>
    </row>
    <row r="27" spans="1:9">
      <c r="A27" s="1325">
        <v>1</v>
      </c>
      <c r="B27" s="1326" t="s">
        <v>1118</v>
      </c>
      <c r="C27" s="1326">
        <f>C28+C29</f>
        <v>0</v>
      </c>
      <c r="D27" s="1326"/>
      <c r="E27" s="3245"/>
      <c r="F27" s="3245"/>
      <c r="G27" s="3245"/>
    </row>
    <row r="28" spans="1:9">
      <c r="A28" s="1327" t="s">
        <v>1119</v>
      </c>
      <c r="B28" s="1326" t="s">
        <v>1120</v>
      </c>
      <c r="C28" s="1326"/>
      <c r="D28" s="1326"/>
      <c r="E28" s="3245"/>
      <c r="F28" s="3245"/>
      <c r="G28" s="3245"/>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36"/>
      <c r="F32" s="3236"/>
      <c r="G32" s="3236"/>
    </row>
    <row r="33" spans="1:7" hidden="1">
      <c r="A33" s="3246" t="s">
        <v>1129</v>
      </c>
      <c r="B33" s="3247"/>
      <c r="C33" s="3247"/>
      <c r="D33" s="3248"/>
      <c r="E33" s="3244"/>
      <c r="F33" s="3244"/>
      <c r="G33" s="3244"/>
    </row>
    <row r="34" spans="1:7" hidden="1">
      <c r="A34" s="1329">
        <v>1</v>
      </c>
      <c r="B34" s="1326" t="s">
        <v>1130</v>
      </c>
      <c r="C34" s="1326"/>
      <c r="D34" s="1326"/>
      <c r="E34" s="3245"/>
      <c r="F34" s="3245"/>
      <c r="G34" s="3245"/>
    </row>
    <row r="35" spans="1:7" hidden="1">
      <c r="A35" s="1329">
        <v>2</v>
      </c>
      <c r="B35" s="1326" t="s">
        <v>1131</v>
      </c>
      <c r="C35" s="1326"/>
      <c r="D35" s="1326"/>
      <c r="E35" s="3245"/>
      <c r="F35" s="3245"/>
      <c r="G35" s="3245"/>
    </row>
    <row r="36" spans="1:7" hidden="1">
      <c r="A36" s="1329">
        <v>3</v>
      </c>
      <c r="B36" s="1326" t="s">
        <v>1132</v>
      </c>
      <c r="C36" s="1326"/>
      <c r="D36" s="1326"/>
      <c r="E36" s="3245"/>
      <c r="F36" s="3245"/>
      <c r="G36" s="3245"/>
    </row>
    <row r="37" spans="1:7" hidden="1">
      <c r="A37" s="1329">
        <v>4</v>
      </c>
      <c r="B37" s="1326" t="s">
        <v>1133</v>
      </c>
      <c r="C37" s="1326"/>
      <c r="D37" s="1326"/>
      <c r="E37" s="3245"/>
      <c r="F37" s="3245"/>
      <c r="G37" s="3245"/>
    </row>
    <row r="38" spans="1:7" hidden="1">
      <c r="A38" s="3246" t="s">
        <v>1134</v>
      </c>
      <c r="B38" s="3247"/>
      <c r="C38" s="3247"/>
      <c r="D38" s="3248"/>
      <c r="E38" s="3244"/>
      <c r="F38" s="3244"/>
      <c r="G38" s="32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71" t="s">
        <v>2517</v>
      </c>
      <c r="C1" s="1634" t="s">
        <v>2518</v>
      </c>
      <c r="D1" s="1621"/>
      <c r="E1" s="2572"/>
      <c r="F1" s="2573" t="s">
        <v>2519</v>
      </c>
      <c r="G1" s="1631" t="s">
        <v>2520</v>
      </c>
      <c r="H1" s="1630"/>
      <c r="I1" s="1630"/>
      <c r="J1" s="1630"/>
      <c r="K1" s="1632"/>
      <c r="L1" s="1633"/>
      <c r="M1" s="1634"/>
      <c r="N1" s="1634"/>
      <c r="O1" s="1634"/>
      <c r="P1" s="2574"/>
      <c r="Q1" s="1620"/>
      <c r="R1" s="1620"/>
      <c r="S1" s="1620"/>
      <c r="T1" s="1620"/>
      <c r="U1" s="1620"/>
      <c r="V1" s="1620"/>
      <c r="W1" s="1620"/>
      <c r="X1" s="1620"/>
      <c r="Y1" s="1620"/>
      <c r="Z1" s="1620"/>
      <c r="AA1" s="1620"/>
      <c r="AB1" s="1620"/>
      <c r="AC1" s="1628"/>
    </row>
    <row r="2" spans="1:29" s="393" customFormat="1" ht="28.5" customHeight="1" thickTop="1">
      <c r="A2" s="1617" t="s">
        <v>1394</v>
      </c>
      <c r="B2" s="1419" t="e">
        <f ca="1">IF(C2="——",ROUND(C49*D3/10000,0),ROUND(C49*D3/10000,0)-D2)</f>
        <v>#DIV/0!</v>
      </c>
      <c r="C2" s="2575"/>
      <c r="D2" s="1366" t="e">
        <f ca="1">SUMIF(INDIRECT("'"&amp;F2&amp;"'"&amp;"!A:A"),"承租人权益价值",INDIRECT("'"&amp;F2&amp;"'"&amp;"!c:c"))</f>
        <v>#REF!</v>
      </c>
      <c r="E2" s="2576" t="s">
        <v>2521</v>
      </c>
      <c r="F2" s="2577"/>
      <c r="G2" s="1125"/>
      <c r="H2" s="1125"/>
      <c r="I2" s="1125"/>
      <c r="J2" s="1125"/>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1395</v>
      </c>
      <c r="B3" s="399" t="e">
        <f ca="1">IF(C2="——",C49,ROUND(B2*10000/D3,0))</f>
        <v>#DIV/0!</v>
      </c>
      <c r="C3" s="400" t="s">
        <v>2522</v>
      </c>
      <c r="D3" s="399">
        <f>IF(D1="",'数据-汇总表'!E3,SUMIF('数据-汇总表'!$C19:$C33,D1,'数据-汇总表'!$E19:$E33))</f>
        <v>1812.99</v>
      </c>
      <c r="E3" s="1125"/>
      <c r="F3" s="2584"/>
      <c r="G3" s="1125"/>
      <c r="H3" s="1125"/>
      <c r="I3" s="1125"/>
      <c r="J3" s="1125"/>
      <c r="K3" s="2578"/>
      <c r="L3" s="2579"/>
      <c r="M3" s="2580"/>
      <c r="N3" s="2580"/>
      <c r="O3" s="2580"/>
      <c r="P3" s="2581"/>
      <c r="Q3" s="2582"/>
      <c r="R3" s="2582"/>
      <c r="S3" s="2582"/>
      <c r="T3" s="2582"/>
      <c r="U3" s="2582"/>
      <c r="V3" s="2582"/>
      <c r="W3" s="2582"/>
      <c r="X3" s="2582"/>
      <c r="Y3" s="2582"/>
      <c r="Z3" s="2582"/>
      <c r="AA3" s="2582"/>
      <c r="AB3" s="2582"/>
      <c r="AC3" s="1283"/>
    </row>
    <row r="4" spans="1:29" ht="15">
      <c r="A4" s="401" t="s">
        <v>2523</v>
      </c>
      <c r="B4" s="402"/>
      <c r="C4" s="3197" t="s">
        <v>2524</v>
      </c>
      <c r="D4" s="3198"/>
      <c r="E4" s="3199" t="s">
        <v>2525</v>
      </c>
      <c r="F4" s="3200"/>
      <c r="G4" s="3197" t="s">
        <v>2526</v>
      </c>
      <c r="H4" s="3198"/>
      <c r="I4" s="3197" t="s">
        <v>2527</v>
      </c>
      <c r="J4" s="3198"/>
      <c r="K4" s="2585" t="s">
        <v>2528</v>
      </c>
      <c r="L4" s="1131"/>
      <c r="M4" s="1132"/>
      <c r="N4" s="1132"/>
      <c r="O4" s="1132"/>
      <c r="P4" s="3253" t="s">
        <v>2529</v>
      </c>
      <c r="Q4" s="3254"/>
      <c r="R4" s="3250" t="s">
        <v>2525</v>
      </c>
      <c r="S4" s="3251"/>
      <c r="T4" s="3250" t="s">
        <v>2526</v>
      </c>
      <c r="U4" s="3251"/>
      <c r="V4" s="3210" t="s">
        <v>2527</v>
      </c>
      <c r="W4" s="3210"/>
      <c r="X4" s="1813"/>
      <c r="Y4" s="3250" t="s">
        <v>2529</v>
      </c>
      <c r="Z4" s="3251"/>
      <c r="AA4" s="3249" t="s">
        <v>2525</v>
      </c>
      <c r="AB4" s="3249" t="s">
        <v>2526</v>
      </c>
      <c r="AC4" s="3249" t="s">
        <v>2527</v>
      </c>
    </row>
    <row r="5" spans="1:29" ht="15">
      <c r="A5" s="404"/>
      <c r="B5" s="405"/>
      <c r="C5" s="3189" t="s">
        <v>2530</v>
      </c>
      <c r="D5" s="3186"/>
      <c r="E5" s="3252" t="s">
        <v>2531</v>
      </c>
      <c r="F5" s="3184"/>
      <c r="G5" s="3189" t="s">
        <v>2532</v>
      </c>
      <c r="H5" s="3186"/>
      <c r="I5" s="3189" t="s">
        <v>2533</v>
      </c>
      <c r="J5" s="3186"/>
      <c r="K5" s="2586"/>
      <c r="L5" s="1131"/>
      <c r="M5" s="1132"/>
      <c r="N5" s="1132"/>
      <c r="O5" s="1132"/>
      <c r="P5" s="3255"/>
      <c r="Q5" s="3204"/>
      <c r="R5" s="3181"/>
      <c r="S5" s="3182"/>
      <c r="T5" s="3181"/>
      <c r="U5" s="3182"/>
      <c r="V5" s="3210"/>
      <c r="W5" s="3210"/>
      <c r="X5" s="1813"/>
      <c r="Y5" s="3181"/>
      <c r="Z5" s="3182"/>
      <c r="AA5" s="3175"/>
      <c r="AB5" s="3175"/>
      <c r="AC5" s="3175"/>
    </row>
    <row r="6" spans="1:29" ht="15.75" thickBot="1">
      <c r="A6" s="406"/>
      <c r="B6" s="407"/>
      <c r="C6" s="3192" t="s">
        <v>2534</v>
      </c>
      <c r="D6" s="3188"/>
      <c r="E6" s="3190" t="s">
        <v>2534</v>
      </c>
      <c r="F6" s="3191"/>
      <c r="G6" s="3192" t="s">
        <v>2534</v>
      </c>
      <c r="H6" s="3188"/>
      <c r="I6" s="3192" t="s">
        <v>2534</v>
      </c>
      <c r="J6" s="3188"/>
      <c r="K6" s="2586" t="s">
        <v>2535</v>
      </c>
      <c r="L6" s="1131"/>
      <c r="M6" s="1132"/>
      <c r="N6" s="1132"/>
      <c r="O6" s="1132"/>
      <c r="P6" s="3256"/>
      <c r="Q6" s="3206"/>
      <c r="R6" s="3181"/>
      <c r="S6" s="3182"/>
      <c r="T6" s="3207"/>
      <c r="U6" s="3208"/>
      <c r="V6" s="3210"/>
      <c r="W6" s="3210"/>
      <c r="X6" s="1813"/>
      <c r="Y6" s="3207"/>
      <c r="Z6" s="3208"/>
      <c r="AA6" s="3176"/>
      <c r="AB6" s="3176"/>
      <c r="AC6" s="3176"/>
    </row>
    <row r="7" spans="1:29" s="117" customFormat="1" ht="15.75" thickBot="1">
      <c r="A7" s="408" t="s">
        <v>2536</v>
      </c>
      <c r="B7" s="409"/>
      <c r="C7" s="410">
        <f>'数据-取费表'!B2</f>
        <v>43293</v>
      </c>
      <c r="D7" s="411">
        <v>100</v>
      </c>
      <c r="E7" s="412"/>
      <c r="F7" s="413">
        <f>SUMIF(58:58,YEAR(E7)&amp;"-"&amp;MONTH(E7),59:59)</f>
        <v>0</v>
      </c>
      <c r="G7" s="412"/>
      <c r="H7" s="411">
        <f>SUMIF(58:58,YEAR(G7)&amp;"-"&amp;MONTH(G7),59:59)</f>
        <v>0</v>
      </c>
      <c r="I7" s="412"/>
      <c r="J7" s="411">
        <f>SUMIF(58:58,YEAR(I7)&amp;"-"&amp;MONTH(I7),59:59)</f>
        <v>0</v>
      </c>
      <c r="K7" s="2587"/>
      <c r="L7" s="1133"/>
      <c r="M7" s="1134"/>
      <c r="N7" s="1134"/>
      <c r="O7" s="1134"/>
      <c r="P7" s="3177" t="s">
        <v>2537</v>
      </c>
      <c r="Q7" s="3212"/>
      <c r="R7" s="770" t="s">
        <v>23</v>
      </c>
      <c r="S7" s="771">
        <f t="shared" ref="S7:S15" si="0">F7</f>
        <v>0</v>
      </c>
      <c r="T7" s="770" t="s">
        <v>23</v>
      </c>
      <c r="U7" s="771">
        <f t="shared" ref="U7:U15" si="1">H7</f>
        <v>0</v>
      </c>
      <c r="V7" s="770" t="s">
        <v>23</v>
      </c>
      <c r="W7" s="771">
        <f t="shared" ref="W7:W15" si="2">J7</f>
        <v>0</v>
      </c>
      <c r="X7" s="772"/>
      <c r="Y7" s="3177" t="s">
        <v>2537</v>
      </c>
      <c r="Z7" s="3178"/>
      <c r="AA7" s="773" t="e">
        <f>D7/F7</f>
        <v>#DIV/0!</v>
      </c>
      <c r="AB7" s="773" t="e">
        <f>D7/H7</f>
        <v>#DIV/0!</v>
      </c>
      <c r="AC7" s="773" t="e">
        <f>D7/J7</f>
        <v>#DIV/0!</v>
      </c>
    </row>
    <row r="8" spans="1:29" s="117" customFormat="1" ht="15.75" thickBot="1">
      <c r="A8" s="408" t="s">
        <v>2538</v>
      </c>
      <c r="B8" s="409"/>
      <c r="C8" s="414" t="s">
        <v>2539</v>
      </c>
      <c r="D8" s="411">
        <v>100</v>
      </c>
      <c r="E8" s="2588"/>
      <c r="F8" s="413">
        <f>SUMIF(61:61,E8,62:62)-SUMIF(61:61,C8,62:62)+100</f>
        <v>0</v>
      </c>
      <c r="G8" s="414"/>
      <c r="H8" s="411">
        <f>SUMIF(61:61,G8,62:62)-SUMIF(61:61,C8,62:62)+100</f>
        <v>0</v>
      </c>
      <c r="I8" s="2588"/>
      <c r="J8" s="411">
        <f>SUMIF(61:61,I8,62:62)-SUMIF(61:61,C8,62:62)+100</f>
        <v>0</v>
      </c>
      <c r="K8" s="2587"/>
      <c r="L8" s="1133"/>
      <c r="M8" s="1134"/>
      <c r="N8" s="1134"/>
      <c r="O8" s="1134"/>
      <c r="P8" s="3177" t="s">
        <v>2540</v>
      </c>
      <c r="Q8" s="3178"/>
      <c r="R8" s="770" t="s">
        <v>23</v>
      </c>
      <c r="S8" s="771">
        <f t="shared" si="0"/>
        <v>0</v>
      </c>
      <c r="T8" s="770" t="s">
        <v>23</v>
      </c>
      <c r="U8" s="771">
        <f t="shared" si="1"/>
        <v>0</v>
      </c>
      <c r="V8" s="770" t="s">
        <v>23</v>
      </c>
      <c r="W8" s="771">
        <f t="shared" si="2"/>
        <v>0</v>
      </c>
      <c r="X8" s="772"/>
      <c r="Y8" s="3177" t="s">
        <v>2540</v>
      </c>
      <c r="Z8" s="3178"/>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87"/>
      <c r="L9" s="1133"/>
      <c r="M9" s="1134"/>
      <c r="N9" s="1134"/>
      <c r="O9" s="1134"/>
      <c r="P9" s="3193" t="s">
        <v>2543</v>
      </c>
      <c r="Q9" s="1795" t="str">
        <f t="shared" ref="Q9:Q15" si="6">B9</f>
        <v>用途</v>
      </c>
      <c r="R9" s="770" t="s">
        <v>17</v>
      </c>
      <c r="S9" s="771">
        <f t="shared" si="0"/>
        <v>100</v>
      </c>
      <c r="T9" s="770" t="s">
        <v>17</v>
      </c>
      <c r="U9" s="771">
        <f t="shared" si="1"/>
        <v>100</v>
      </c>
      <c r="V9" s="770" t="s">
        <v>17</v>
      </c>
      <c r="W9" s="771">
        <f t="shared" si="2"/>
        <v>100</v>
      </c>
      <c r="X9" s="772"/>
      <c r="Y9" s="304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93"/>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93"/>
      <c r="Q11" s="1795"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3"/>
      <c r="M12" s="1134"/>
      <c r="N12" s="1134"/>
      <c r="O12" s="1134"/>
      <c r="P12" s="3193"/>
      <c r="Q12" s="1795">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41"/>
      <c r="M13" s="1132"/>
      <c r="N13" s="1132"/>
      <c r="O13" s="1132"/>
      <c r="P13" s="3193"/>
      <c r="Q13" s="1795">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41"/>
      <c r="M14" s="1132"/>
      <c r="N14" s="1132"/>
      <c r="O14" s="1132"/>
      <c r="P14" s="3193"/>
      <c r="Q14" s="1795">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2547</v>
      </c>
      <c r="B15" s="69" t="s">
        <v>2078</v>
      </c>
      <c r="C15" s="259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3" t="s">
        <v>2548</v>
      </c>
      <c r="Q15" s="1810" t="str">
        <f t="shared" si="6"/>
        <v>居住社区成熟度</v>
      </c>
      <c r="R15" s="774" t="s">
        <v>21</v>
      </c>
      <c r="S15" s="775">
        <f t="shared" si="0"/>
        <v>100</v>
      </c>
      <c r="T15" s="774" t="s">
        <v>21</v>
      </c>
      <c r="U15" s="775">
        <f t="shared" si="1"/>
        <v>100</v>
      </c>
      <c r="V15" s="774" t="s">
        <v>21</v>
      </c>
      <c r="W15" s="775">
        <f t="shared" si="2"/>
        <v>100</v>
      </c>
      <c r="X15" s="1813"/>
      <c r="Y15" s="3215" t="s">
        <v>2548</v>
      </c>
      <c r="Z15" s="1814" t="str">
        <f t="shared" si="7"/>
        <v>居住社区成熟度</v>
      </c>
      <c r="AA15" s="1811">
        <f t="shared" si="3"/>
        <v>1</v>
      </c>
      <c r="AB15" s="1811">
        <f t="shared" si="4"/>
        <v>1</v>
      </c>
      <c r="AC15" s="1811">
        <f t="shared" si="5"/>
        <v>1</v>
      </c>
    </row>
    <row r="16" spans="1:29" ht="15">
      <c r="A16" s="428"/>
      <c r="B16" s="446"/>
      <c r="C16" s="447"/>
      <c r="D16" s="448"/>
      <c r="E16" s="2593"/>
      <c r="F16" s="448"/>
      <c r="G16" s="2594"/>
      <c r="H16" s="450"/>
      <c r="I16" s="2594"/>
      <c r="J16" s="448"/>
      <c r="K16" s="2595"/>
      <c r="L16" s="1141"/>
      <c r="M16" s="1132"/>
      <c r="N16" s="1132"/>
      <c r="O16" s="1132"/>
      <c r="P16" s="3214"/>
      <c r="Q16" s="1810"/>
      <c r="R16" s="774"/>
      <c r="S16" s="775"/>
      <c r="T16" s="774"/>
      <c r="U16" s="775"/>
      <c r="V16" s="774"/>
      <c r="W16" s="775"/>
      <c r="X16" s="1813"/>
      <c r="Y16" s="3216"/>
      <c r="Z16" s="1814"/>
      <c r="AA16" s="1811">
        <v>1</v>
      </c>
      <c r="AB16" s="1811">
        <v>1</v>
      </c>
      <c r="AC16" s="1811">
        <v>1</v>
      </c>
    </row>
    <row r="17" spans="1:29" ht="185.25">
      <c r="A17" s="428"/>
      <c r="B17" s="451" t="s">
        <v>2089</v>
      </c>
      <c r="C17" s="259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4"/>
      <c r="Q17" s="1810" t="str">
        <f>B17</f>
        <v>交通便捷度</v>
      </c>
      <c r="R17" s="774" t="s">
        <v>21</v>
      </c>
      <c r="S17" s="775">
        <f>F17</f>
        <v>100</v>
      </c>
      <c r="T17" s="774" t="s">
        <v>21</v>
      </c>
      <c r="U17" s="775">
        <f>H17</f>
        <v>100</v>
      </c>
      <c r="V17" s="774" t="s">
        <v>21</v>
      </c>
      <c r="W17" s="775">
        <f>J17</f>
        <v>100</v>
      </c>
      <c r="X17" s="1813"/>
      <c r="Y17" s="3216"/>
      <c r="Z17" s="1814" t="str">
        <f>Q17</f>
        <v>交通便捷度</v>
      </c>
      <c r="AA17" s="1811">
        <f t="shared" si="3"/>
        <v>1</v>
      </c>
      <c r="AB17" s="1811">
        <f t="shared" si="4"/>
        <v>1</v>
      </c>
      <c r="AC17" s="1811">
        <f t="shared" si="5"/>
        <v>1</v>
      </c>
    </row>
    <row r="18" spans="1:29" ht="15">
      <c r="A18" s="428"/>
      <c r="B18" s="456"/>
      <c r="C18" s="2597"/>
      <c r="D18" s="450"/>
      <c r="E18" s="2598"/>
      <c r="F18" s="450"/>
      <c r="G18" s="2599"/>
      <c r="H18" s="448"/>
      <c r="I18" s="2599"/>
      <c r="J18" s="448"/>
      <c r="K18" s="2595"/>
      <c r="L18" s="1141"/>
      <c r="M18" s="1132"/>
      <c r="N18" s="1132"/>
      <c r="O18" s="1132"/>
      <c r="P18" s="3214"/>
      <c r="Q18" s="1810"/>
      <c r="R18" s="774"/>
      <c r="S18" s="775"/>
      <c r="T18" s="774"/>
      <c r="U18" s="775"/>
      <c r="V18" s="774"/>
      <c r="W18" s="775"/>
      <c r="X18" s="1813"/>
      <c r="Y18" s="3216"/>
      <c r="Z18" s="1814"/>
      <c r="AA18" s="1811">
        <v>1</v>
      </c>
      <c r="AB18" s="1811">
        <v>1</v>
      </c>
      <c r="AC18" s="1811">
        <v>1</v>
      </c>
    </row>
    <row r="19" spans="1:29" ht="213.75">
      <c r="A19" s="428"/>
      <c r="B19" s="451" t="s">
        <v>2087</v>
      </c>
      <c r="C19" s="259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4"/>
      <c r="Q19" s="1810" t="str">
        <f>B19</f>
        <v>公共配套设施</v>
      </c>
      <c r="R19" s="774" t="s">
        <v>21</v>
      </c>
      <c r="S19" s="775">
        <f>F19</f>
        <v>100</v>
      </c>
      <c r="T19" s="774" t="s">
        <v>21</v>
      </c>
      <c r="U19" s="775">
        <f>H19</f>
        <v>100</v>
      </c>
      <c r="V19" s="774" t="s">
        <v>21</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593"/>
      <c r="F20" s="448"/>
      <c r="G20" s="2594"/>
      <c r="H20" s="448"/>
      <c r="I20" s="2594"/>
      <c r="J20" s="448"/>
      <c r="K20" s="2595"/>
      <c r="L20" s="1141"/>
      <c r="M20" s="1132"/>
      <c r="N20" s="1132"/>
      <c r="O20" s="1132"/>
      <c r="P20" s="3214"/>
      <c r="Q20" s="1810"/>
      <c r="R20" s="774"/>
      <c r="S20" s="775"/>
      <c r="T20" s="774"/>
      <c r="U20" s="775"/>
      <c r="V20" s="774"/>
      <c r="W20" s="775"/>
      <c r="X20" s="1813"/>
      <c r="Y20" s="3216"/>
      <c r="Z20" s="1814"/>
      <c r="AA20" s="1811">
        <v>1</v>
      </c>
      <c r="AB20" s="1811">
        <v>1</v>
      </c>
      <c r="AC20" s="1811">
        <v>1</v>
      </c>
    </row>
    <row r="21" spans="1:29" ht="42.75">
      <c r="A21" s="428"/>
      <c r="B21" s="1385" t="s">
        <v>2090</v>
      </c>
      <c r="C21" s="2596"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4"/>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8"/>
      <c r="G22" s="2600"/>
      <c r="H22" s="448"/>
      <c r="I22" s="447"/>
      <c r="J22" s="448"/>
      <c r="K22" s="2601"/>
      <c r="L22" s="1141"/>
      <c r="M22" s="1132"/>
      <c r="N22" s="1132"/>
      <c r="O22" s="1132"/>
      <c r="P22" s="3214"/>
      <c r="Q22" s="1810"/>
      <c r="R22" s="774"/>
      <c r="S22" s="775"/>
      <c r="T22" s="774"/>
      <c r="U22" s="775"/>
      <c r="V22" s="774"/>
      <c r="W22" s="775"/>
      <c r="X22" s="1813"/>
      <c r="Y22" s="3216"/>
      <c r="Z22" s="1814"/>
      <c r="AA22" s="1811">
        <v>1</v>
      </c>
      <c r="AB22" s="1811">
        <v>1</v>
      </c>
      <c r="AC22" s="1811">
        <v>1</v>
      </c>
    </row>
    <row r="23" spans="1:29" ht="85.5">
      <c r="A23" s="428"/>
      <c r="B23" s="451" t="s">
        <v>2094</v>
      </c>
      <c r="C23" s="2596" t="str">
        <f>估价对象房地状况!C9</f>
        <v>估价对象周边人文环境一般；有御康公园，自然环境一般；综合评价环境状况一般。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4"/>
      <c r="Q23" s="1810" t="str">
        <f>B23</f>
        <v>自然及人文环境</v>
      </c>
      <c r="R23" s="774" t="s">
        <v>21</v>
      </c>
      <c r="S23" s="775">
        <f>F23</f>
        <v>100</v>
      </c>
      <c r="T23" s="774" t="s">
        <v>21</v>
      </c>
      <c r="U23" s="775">
        <f>H23</f>
        <v>100</v>
      </c>
      <c r="V23" s="774" t="s">
        <v>21</v>
      </c>
      <c r="W23" s="775">
        <f>J23</f>
        <v>100</v>
      </c>
      <c r="X23" s="1813"/>
      <c r="Y23" s="3216"/>
      <c r="Z23" s="1814" t="str">
        <f>Q23</f>
        <v>自然及人文环境</v>
      </c>
      <c r="AA23" s="1811">
        <f>D23/F23</f>
        <v>1</v>
      </c>
      <c r="AB23" s="1811">
        <f>D23/H23</f>
        <v>1</v>
      </c>
      <c r="AC23" s="1811">
        <f>D23/J23</f>
        <v>1</v>
      </c>
    </row>
    <row r="24" spans="1:29" ht="15">
      <c r="A24" s="428"/>
      <c r="B24" s="456"/>
      <c r="C24" s="447"/>
      <c r="D24" s="448"/>
      <c r="E24" s="2593"/>
      <c r="F24" s="448"/>
      <c r="G24" s="2594"/>
      <c r="H24" s="448"/>
      <c r="I24" s="2594"/>
      <c r="J24" s="448"/>
      <c r="K24" s="2595"/>
      <c r="L24" s="1141"/>
      <c r="M24" s="1132"/>
      <c r="N24" s="1132"/>
      <c r="O24" s="1132"/>
      <c r="P24" s="3214"/>
      <c r="Q24" s="1810"/>
      <c r="R24" s="774"/>
      <c r="S24" s="775"/>
      <c r="T24" s="774"/>
      <c r="U24" s="775"/>
      <c r="V24" s="774"/>
      <c r="W24" s="775"/>
      <c r="X24" s="1813"/>
      <c r="Y24" s="3216"/>
      <c r="Z24" s="1814"/>
      <c r="AA24" s="1811">
        <v>1</v>
      </c>
      <c r="AB24" s="1811">
        <v>1</v>
      </c>
      <c r="AC24" s="1811">
        <v>1</v>
      </c>
    </row>
    <row r="25" spans="1:29" ht="15">
      <c r="A25" s="428"/>
      <c r="B25" s="422" t="s">
        <v>2549</v>
      </c>
      <c r="C25" s="460"/>
      <c r="D25" s="435">
        <v>100</v>
      </c>
      <c r="E25" s="2602"/>
      <c r="F25" s="435">
        <f>SUMIF(86:86,E25,87:87)-SUMIF(86:86,C25,87:87)+100</f>
        <v>100</v>
      </c>
      <c r="G25" s="2603"/>
      <c r="H25" s="435">
        <f>SUMIF(86:86,G25,87:87)-SUMIF(86:86,C25,87:87)+100</f>
        <v>100</v>
      </c>
      <c r="I25" s="2603"/>
      <c r="J25" s="435">
        <f>SUMIF(86:86,I25,87:87)-SUMIF(86:86,C25,87:87)+100</f>
        <v>100</v>
      </c>
      <c r="K25" s="426"/>
      <c r="L25" s="1141"/>
      <c r="M25" s="1132"/>
      <c r="N25" s="1132"/>
      <c r="O25" s="1132"/>
      <c r="P25" s="321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6"/>
      <c r="Z25" s="1814" t="str">
        <f>Q25</f>
        <v>楼层-1</v>
      </c>
      <c r="AA25" s="1811">
        <f t="shared" ref="AA25:AA46" si="15">D25/F25</f>
        <v>1</v>
      </c>
      <c r="AB25" s="1811">
        <f t="shared" ref="AB25:AB46" si="16">D25/H25</f>
        <v>1</v>
      </c>
      <c r="AC25" s="1811">
        <f t="shared" ref="AC25:AC46" si="17">D25/J25</f>
        <v>1</v>
      </c>
    </row>
    <row r="26" spans="1:29" ht="15">
      <c r="A26" s="428"/>
      <c r="B26" s="422" t="s">
        <v>2550</v>
      </c>
      <c r="C26" s="460"/>
      <c r="D26" s="435">
        <v>100</v>
      </c>
      <c r="E26" s="2602"/>
      <c r="F26" s="435">
        <f>SUMIF(88:88,E26,89:89)-SUMIF(88:88,C26,89:89)+100</f>
        <v>100</v>
      </c>
      <c r="G26" s="2603"/>
      <c r="H26" s="435">
        <f>SUMIF(88:88,G26,89:89)-SUMIF(88:88,C26,89:89)+100</f>
        <v>100</v>
      </c>
      <c r="I26" s="2603"/>
      <c r="J26" s="435">
        <f>SUMIF(88:88,I26,89:89)-SUMIF(88:88,C26,89:89)+100</f>
        <v>100</v>
      </c>
      <c r="K26" s="426"/>
      <c r="L26" s="1141"/>
      <c r="M26" s="1132"/>
      <c r="N26" s="1132"/>
      <c r="O26" s="1132"/>
      <c r="P26" s="3214"/>
      <c r="Q26" s="1810" t="str">
        <f t="shared" si="11"/>
        <v>朝向</v>
      </c>
      <c r="R26" s="774" t="s">
        <v>21</v>
      </c>
      <c r="S26" s="775">
        <f t="shared" si="12"/>
        <v>100</v>
      </c>
      <c r="T26" s="774" t="s">
        <v>21</v>
      </c>
      <c r="U26" s="775">
        <f t="shared" si="13"/>
        <v>100</v>
      </c>
      <c r="V26" s="774" t="s">
        <v>21</v>
      </c>
      <c r="W26" s="775">
        <f t="shared" si="14"/>
        <v>100</v>
      </c>
      <c r="X26" s="1813"/>
      <c r="Y26" s="3216"/>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0"/>
      <c r="L27" s="1133"/>
      <c r="M27" s="1134"/>
      <c r="N27" s="1134"/>
      <c r="O27" s="1134"/>
      <c r="P27" s="3214"/>
      <c r="Q27" s="1795">
        <f t="shared" si="11"/>
        <v>111</v>
      </c>
      <c r="R27" s="770" t="s">
        <v>21</v>
      </c>
      <c r="S27" s="771">
        <f t="shared" si="12"/>
        <v>100</v>
      </c>
      <c r="T27" s="770" t="s">
        <v>21</v>
      </c>
      <c r="U27" s="771">
        <f t="shared" si="13"/>
        <v>100</v>
      </c>
      <c r="V27" s="770" t="s">
        <v>21</v>
      </c>
      <c r="W27" s="771">
        <f t="shared" si="14"/>
        <v>100</v>
      </c>
      <c r="X27" s="772"/>
      <c r="Y27" s="3216"/>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04"/>
      <c r="H28" s="435">
        <f>SUMIF(92:92,G28,93:93)-SUMIF(92:92,C28,93:93)+100</f>
        <v>100</v>
      </c>
      <c r="I28" s="434"/>
      <c r="J28" s="435">
        <f>SUMIF(92:92,I28,93:93)-SUMIF(92:92,C28,93:93)+100</f>
        <v>100</v>
      </c>
      <c r="K28" s="2590"/>
      <c r="L28" s="1141"/>
      <c r="M28" s="1132"/>
      <c r="N28" s="1132"/>
      <c r="O28" s="1132"/>
      <c r="P28" s="3214"/>
      <c r="Q28" s="1810">
        <f t="shared" si="11"/>
        <v>111</v>
      </c>
      <c r="R28" s="774" t="s">
        <v>21</v>
      </c>
      <c r="S28" s="775">
        <f t="shared" si="12"/>
        <v>100</v>
      </c>
      <c r="T28" s="774" t="s">
        <v>21</v>
      </c>
      <c r="U28" s="775">
        <f t="shared" si="13"/>
        <v>100</v>
      </c>
      <c r="V28" s="774" t="s">
        <v>21</v>
      </c>
      <c r="W28" s="775">
        <f t="shared" si="14"/>
        <v>100</v>
      </c>
      <c r="X28" s="1813"/>
      <c r="Y28" s="3216"/>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04"/>
      <c r="H29" s="435">
        <f>SUMIF(94:94,G29,95:95)-SUMIF(94:94,C29,95:95)+100</f>
        <v>100</v>
      </c>
      <c r="I29" s="434"/>
      <c r="J29" s="435">
        <f>SUMIF(94:94,I29,95:95)-SUMIF(94:94,C29,95:95)+100</f>
        <v>100</v>
      </c>
      <c r="K29" s="2590"/>
      <c r="L29" s="1141"/>
      <c r="M29" s="1132"/>
      <c r="N29" s="1132"/>
      <c r="O29" s="1132"/>
      <c r="P29" s="3214"/>
      <c r="Q29" s="1810">
        <f t="shared" si="11"/>
        <v>111</v>
      </c>
      <c r="R29" s="774" t="s">
        <v>21</v>
      </c>
      <c r="S29" s="775">
        <f t="shared" si="12"/>
        <v>100</v>
      </c>
      <c r="T29" s="774" t="s">
        <v>21</v>
      </c>
      <c r="U29" s="775">
        <f t="shared" si="13"/>
        <v>100</v>
      </c>
      <c r="V29" s="774" t="s">
        <v>21</v>
      </c>
      <c r="W29" s="775">
        <f t="shared" si="14"/>
        <v>100</v>
      </c>
      <c r="X29" s="1813"/>
      <c r="Y29" s="3216"/>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04"/>
      <c r="H30" s="435">
        <f>SUMIF(96:96,G30,97:97)-SUMIF(96:96,C30,97:97)+100</f>
        <v>100</v>
      </c>
      <c r="I30" s="434"/>
      <c r="J30" s="435">
        <f>SUMIF(96:96,I30,97:97)-SUMIF(96:96,C30,97:97)+100</f>
        <v>100</v>
      </c>
      <c r="K30" s="2590"/>
      <c r="L30" s="1141"/>
      <c r="M30" s="1132"/>
      <c r="N30" s="1132"/>
      <c r="O30" s="1132"/>
      <c r="P30" s="3214"/>
      <c r="Q30" s="1810">
        <f t="shared" si="11"/>
        <v>111</v>
      </c>
      <c r="R30" s="774" t="s">
        <v>21</v>
      </c>
      <c r="S30" s="775">
        <f t="shared" si="12"/>
        <v>100</v>
      </c>
      <c r="T30" s="774" t="s">
        <v>21</v>
      </c>
      <c r="U30" s="775">
        <f t="shared" si="13"/>
        <v>100</v>
      </c>
      <c r="V30" s="774" t="s">
        <v>21</v>
      </c>
      <c r="W30" s="775">
        <f t="shared" si="14"/>
        <v>100</v>
      </c>
      <c r="X30" s="1813"/>
      <c r="Y30" s="3216"/>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05"/>
      <c r="H31" s="438">
        <f>SUMIF(98:98,G31,99:99)-SUMIF(98:98,C31,99:99)+100</f>
        <v>100</v>
      </c>
      <c r="I31" s="437"/>
      <c r="J31" s="438">
        <f>SUMIF(98:98,I31,99:99)-SUMIF(98:98,C31,99:99)+100</f>
        <v>100</v>
      </c>
      <c r="K31" s="2590"/>
      <c r="L31" s="1141"/>
      <c r="M31" s="1132"/>
      <c r="N31" s="1132"/>
      <c r="O31" s="1132"/>
      <c r="P31" s="3214"/>
      <c r="Q31" s="1810">
        <f t="shared" si="11"/>
        <v>111</v>
      </c>
      <c r="R31" s="774" t="s">
        <v>21</v>
      </c>
      <c r="S31" s="775">
        <f t="shared" si="12"/>
        <v>100</v>
      </c>
      <c r="T31" s="774" t="s">
        <v>21</v>
      </c>
      <c r="U31" s="775">
        <f t="shared" si="13"/>
        <v>100</v>
      </c>
      <c r="V31" s="774" t="s">
        <v>21</v>
      </c>
      <c r="W31" s="775">
        <f t="shared" si="14"/>
        <v>100</v>
      </c>
      <c r="X31" s="1813"/>
      <c r="Y31" s="3216"/>
      <c r="Z31" s="1814">
        <f t="shared" si="18"/>
        <v>111</v>
      </c>
      <c r="AA31" s="1811">
        <f t="shared" si="15"/>
        <v>1</v>
      </c>
      <c r="AB31" s="1811">
        <f t="shared" si="16"/>
        <v>1</v>
      </c>
      <c r="AC31" s="1811">
        <f t="shared" si="17"/>
        <v>1</v>
      </c>
    </row>
    <row r="32" spans="1:29" ht="15">
      <c r="A32" s="440" t="s">
        <v>2551</v>
      </c>
      <c r="B32" s="71" t="s">
        <v>2552</v>
      </c>
      <c r="C32" s="2606"/>
      <c r="D32" s="467">
        <v>100</v>
      </c>
      <c r="E32" s="2607"/>
      <c r="F32" s="461">
        <f>SUMIF(100:100,E32,101:101)-SUMIF(100:100,C32,101:101)+100</f>
        <v>100</v>
      </c>
      <c r="G32" s="2606"/>
      <c r="H32" s="467">
        <f>SUMIF(100:100,G32,101:101)-SUMIF(100:100,C32,101:101)+100</f>
        <v>100</v>
      </c>
      <c r="I32" s="2607"/>
      <c r="J32" s="435">
        <f>SUMIF(100:100,I32,101:101)-SUMIF(100:100,C32,101:101)+100</f>
        <v>100</v>
      </c>
      <c r="K32" s="426"/>
      <c r="L32" s="1141"/>
      <c r="M32" s="1132"/>
      <c r="N32" s="1132"/>
      <c r="O32" s="1132"/>
      <c r="P32" s="3217" t="s">
        <v>2553</v>
      </c>
      <c r="Q32" s="1810" t="str">
        <f t="shared" si="11"/>
        <v>建筑类型</v>
      </c>
      <c r="R32" s="774" t="s">
        <v>21</v>
      </c>
      <c r="S32" s="775">
        <f t="shared" si="12"/>
        <v>100</v>
      </c>
      <c r="T32" s="774" t="s">
        <v>21</v>
      </c>
      <c r="U32" s="775">
        <f t="shared" si="13"/>
        <v>100</v>
      </c>
      <c r="V32" s="774" t="s">
        <v>21</v>
      </c>
      <c r="W32" s="775">
        <f t="shared" si="14"/>
        <v>100</v>
      </c>
      <c r="X32" s="1813"/>
      <c r="Y32" s="3220" t="s">
        <v>2553</v>
      </c>
      <c r="Z32" s="1814" t="str">
        <f t="shared" si="18"/>
        <v>建筑类型</v>
      </c>
      <c r="AA32" s="1811">
        <f t="shared" si="15"/>
        <v>1</v>
      </c>
      <c r="AB32" s="1811">
        <f t="shared" si="16"/>
        <v>1</v>
      </c>
      <c r="AC32" s="1811">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0"/>
      <c r="L33" s="1139"/>
      <c r="M33" s="1142"/>
      <c r="N33" s="1142"/>
      <c r="O33" s="1142"/>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1" t="e">
        <f t="shared" si="15"/>
        <v>#N/A</v>
      </c>
      <c r="AB33" s="1811" t="e">
        <f t="shared" si="16"/>
        <v>#N/A</v>
      </c>
      <c r="AC33" s="1811" t="e">
        <f t="shared" si="17"/>
        <v>#N/A</v>
      </c>
    </row>
    <row r="34" spans="1:29" ht="15">
      <c r="A34" s="472"/>
      <c r="B34" s="422" t="s">
        <v>2555</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41"/>
      <c r="M34" s="1132"/>
      <c r="N34" s="1132"/>
      <c r="O34" s="1132"/>
      <c r="P34" s="3218"/>
      <c r="Q34" s="1810" t="str">
        <f t="shared" si="11"/>
        <v>建筑结构</v>
      </c>
      <c r="R34" s="774" t="s">
        <v>21</v>
      </c>
      <c r="S34" s="775">
        <f t="shared" si="12"/>
        <v>100</v>
      </c>
      <c r="T34" s="774" t="s">
        <v>21</v>
      </c>
      <c r="U34" s="775">
        <f t="shared" si="13"/>
        <v>100</v>
      </c>
      <c r="V34" s="774" t="s">
        <v>21</v>
      </c>
      <c r="W34" s="775">
        <f t="shared" si="14"/>
        <v>100</v>
      </c>
      <c r="X34" s="1813"/>
      <c r="Y34" s="3220"/>
      <c r="Z34" s="1814" t="str">
        <f t="shared" si="18"/>
        <v>建筑结构</v>
      </c>
      <c r="AA34" s="1811">
        <f t="shared" si="15"/>
        <v>1</v>
      </c>
      <c r="AB34" s="1811">
        <f t="shared" si="16"/>
        <v>1</v>
      </c>
      <c r="AC34" s="1811">
        <f t="shared" si="17"/>
        <v>1</v>
      </c>
    </row>
    <row r="35" spans="1:29" ht="15">
      <c r="A35" s="472"/>
      <c r="B35" s="422" t="s">
        <v>2556</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41"/>
      <c r="M35" s="1132"/>
      <c r="N35" s="1132"/>
      <c r="O35" s="1132"/>
      <c r="P35" s="3218"/>
      <c r="Q35" s="1810" t="str">
        <f t="shared" si="11"/>
        <v>建筑品质</v>
      </c>
      <c r="R35" s="774" t="s">
        <v>21</v>
      </c>
      <c r="S35" s="775">
        <f t="shared" si="12"/>
        <v>100</v>
      </c>
      <c r="T35" s="774" t="s">
        <v>21</v>
      </c>
      <c r="U35" s="775">
        <f t="shared" si="13"/>
        <v>100</v>
      </c>
      <c r="V35" s="774" t="s">
        <v>21</v>
      </c>
      <c r="W35" s="775">
        <f t="shared" si="14"/>
        <v>100</v>
      </c>
      <c r="X35" s="1813"/>
      <c r="Y35" s="3220"/>
      <c r="Z35" s="1814" t="str">
        <f t="shared" si="18"/>
        <v>建筑品质</v>
      </c>
      <c r="AA35" s="1811">
        <f t="shared" si="15"/>
        <v>1</v>
      </c>
      <c r="AB35" s="1811">
        <f t="shared" si="16"/>
        <v>1</v>
      </c>
      <c r="AC35" s="1811">
        <f t="shared" si="17"/>
        <v>1</v>
      </c>
    </row>
    <row r="36" spans="1:29" ht="15">
      <c r="A36" s="472"/>
      <c r="B36" s="422" t="s">
        <v>2557</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41"/>
      <c r="M36" s="1132"/>
      <c r="N36" s="1132"/>
      <c r="O36" s="1132"/>
      <c r="P36" s="3218"/>
      <c r="Q36" s="1810" t="str">
        <f t="shared" si="11"/>
        <v>公共部分装修</v>
      </c>
      <c r="R36" s="774" t="s">
        <v>21</v>
      </c>
      <c r="S36" s="775">
        <f t="shared" si="12"/>
        <v>100</v>
      </c>
      <c r="T36" s="774" t="s">
        <v>21</v>
      </c>
      <c r="U36" s="775">
        <f t="shared" si="13"/>
        <v>100</v>
      </c>
      <c r="V36" s="774" t="s">
        <v>21</v>
      </c>
      <c r="W36" s="775">
        <f t="shared" si="14"/>
        <v>100</v>
      </c>
      <c r="X36" s="1813"/>
      <c r="Y36" s="3220"/>
      <c r="Z36" s="1814" t="str">
        <f t="shared" si="18"/>
        <v>公共部分装修</v>
      </c>
      <c r="AA36" s="1811">
        <f t="shared" si="15"/>
        <v>1</v>
      </c>
      <c r="AB36" s="1811">
        <f t="shared" si="16"/>
        <v>1</v>
      </c>
      <c r="AC36" s="1811">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8"/>
      <c r="Q37" s="1795"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2559</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41"/>
      <c r="M38" s="1132"/>
      <c r="N38" s="1132"/>
      <c r="O38" s="1132"/>
      <c r="P38" s="3218" t="s">
        <v>2553</v>
      </c>
      <c r="Q38" s="1810" t="str">
        <f t="shared" si="11"/>
        <v>物业管理</v>
      </c>
      <c r="R38" s="774" t="s">
        <v>21</v>
      </c>
      <c r="S38" s="775">
        <f t="shared" si="12"/>
        <v>100</v>
      </c>
      <c r="T38" s="774" t="s">
        <v>21</v>
      </c>
      <c r="U38" s="775">
        <f t="shared" si="13"/>
        <v>100</v>
      </c>
      <c r="V38" s="774" t="s">
        <v>21</v>
      </c>
      <c r="W38" s="775">
        <f t="shared" si="14"/>
        <v>100</v>
      </c>
      <c r="X38" s="1813"/>
      <c r="Y38" s="3220" t="s">
        <v>2553</v>
      </c>
      <c r="Z38" s="1814" t="str">
        <f t="shared" si="18"/>
        <v>物业管理</v>
      </c>
      <c r="AA38" s="1811">
        <f t="shared" si="15"/>
        <v>1</v>
      </c>
      <c r="AB38" s="1811">
        <f t="shared" si="16"/>
        <v>1</v>
      </c>
      <c r="AC38" s="1811">
        <f t="shared" si="17"/>
        <v>1</v>
      </c>
    </row>
    <row r="39" spans="1:29" ht="15">
      <c r="A39" s="472"/>
      <c r="B39" s="422" t="s">
        <v>2560</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41"/>
      <c r="M39" s="1132"/>
      <c r="N39" s="1132"/>
      <c r="O39" s="1132"/>
      <c r="P39" s="3218"/>
      <c r="Q39" s="1810" t="str">
        <f t="shared" si="11"/>
        <v>市政基础设施</v>
      </c>
      <c r="R39" s="774" t="s">
        <v>21</v>
      </c>
      <c r="S39" s="775">
        <f t="shared" si="12"/>
        <v>100</v>
      </c>
      <c r="T39" s="774" t="s">
        <v>21</v>
      </c>
      <c r="U39" s="775">
        <f t="shared" si="13"/>
        <v>100</v>
      </c>
      <c r="V39" s="774" t="s">
        <v>21</v>
      </c>
      <c r="W39" s="775">
        <f t="shared" si="14"/>
        <v>100</v>
      </c>
      <c r="X39" s="1813"/>
      <c r="Y39" s="3220"/>
      <c r="Z39" s="1814" t="str">
        <f t="shared" si="18"/>
        <v>市政基础设施</v>
      </c>
      <c r="AA39" s="1811">
        <f t="shared" si="15"/>
        <v>1</v>
      </c>
      <c r="AB39" s="1811">
        <f t="shared" si="16"/>
        <v>1</v>
      </c>
      <c r="AC39" s="1811">
        <f t="shared" si="17"/>
        <v>1</v>
      </c>
    </row>
    <row r="40" spans="1:29" ht="15">
      <c r="A40" s="472"/>
      <c r="B40" s="422" t="s">
        <v>2561</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41"/>
      <c r="M40" s="1132"/>
      <c r="N40" s="1132"/>
      <c r="O40" s="1132"/>
      <c r="P40" s="3218"/>
      <c r="Q40" s="1810" t="str">
        <f t="shared" si="11"/>
        <v>房型</v>
      </c>
      <c r="R40" s="774" t="s">
        <v>21</v>
      </c>
      <c r="S40" s="775">
        <f t="shared" si="12"/>
        <v>100</v>
      </c>
      <c r="T40" s="774" t="s">
        <v>21</v>
      </c>
      <c r="U40" s="775">
        <f t="shared" si="13"/>
        <v>100</v>
      </c>
      <c r="V40" s="774" t="s">
        <v>21</v>
      </c>
      <c r="W40" s="775">
        <f t="shared" si="14"/>
        <v>100</v>
      </c>
      <c r="X40" s="1813"/>
      <c r="Y40" s="3220"/>
      <c r="Z40" s="1814" t="str">
        <f t="shared" si="18"/>
        <v>房型</v>
      </c>
      <c r="AA40" s="1811">
        <f t="shared" si="15"/>
        <v>1</v>
      </c>
      <c r="AB40" s="1811">
        <f t="shared" si="16"/>
        <v>1</v>
      </c>
      <c r="AC40" s="1811">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9"/>
      <c r="M41" s="1142"/>
      <c r="N41" s="1142"/>
      <c r="O41" s="1142"/>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1">
        <f t="shared" si="15"/>
        <v>1</v>
      </c>
      <c r="AB41" s="1811">
        <f t="shared" si="16"/>
        <v>1</v>
      </c>
      <c r="AC41" s="1811">
        <f t="shared" si="17"/>
        <v>1</v>
      </c>
    </row>
    <row r="42" spans="1:29" ht="15">
      <c r="A42" s="472"/>
      <c r="B42" s="422" t="s">
        <v>2563</v>
      </c>
      <c r="C42" s="2602"/>
      <c r="D42" s="435">
        <v>100</v>
      </c>
      <c r="E42" s="2603"/>
      <c r="F42" s="461">
        <f>SUMIF(122:122,E42,123:123)-SUMIF(122:122,C42,123:123)+100</f>
        <v>100</v>
      </c>
      <c r="G42" s="2602"/>
      <c r="H42" s="435">
        <f>SUMIF(122:122,G42,123:123)-SUMIF(122:122,C42,123:123)+100</f>
        <v>100</v>
      </c>
      <c r="I42" s="2603"/>
      <c r="J42" s="435">
        <f>SUMIF(122:122,I42,123:123)-SUMIF(122:122,C42,123:123)+100</f>
        <v>100</v>
      </c>
      <c r="K42" s="426"/>
      <c r="L42" s="1141"/>
      <c r="M42" s="1132"/>
      <c r="N42" s="1132"/>
      <c r="O42" s="1132"/>
      <c r="P42" s="3218"/>
      <c r="Q42" s="1810" t="str">
        <f t="shared" si="11"/>
        <v>内部装修</v>
      </c>
      <c r="R42" s="774" t="s">
        <v>21</v>
      </c>
      <c r="S42" s="775">
        <f t="shared" si="12"/>
        <v>100</v>
      </c>
      <c r="T42" s="774" t="s">
        <v>21</v>
      </c>
      <c r="U42" s="775">
        <f t="shared" si="13"/>
        <v>100</v>
      </c>
      <c r="V42" s="774" t="s">
        <v>21</v>
      </c>
      <c r="W42" s="775">
        <f t="shared" si="14"/>
        <v>100</v>
      </c>
      <c r="X42" s="1813"/>
      <c r="Y42" s="3220"/>
      <c r="Z42" s="1814" t="str">
        <f t="shared" si="18"/>
        <v>内部装修</v>
      </c>
      <c r="AA42" s="1811">
        <f t="shared" si="15"/>
        <v>1</v>
      </c>
      <c r="AB42" s="1811">
        <f t="shared" si="16"/>
        <v>1</v>
      </c>
      <c r="AC42" s="1811">
        <f t="shared" si="17"/>
        <v>1</v>
      </c>
    </row>
    <row r="43" spans="1:29" ht="15">
      <c r="A43" s="472"/>
      <c r="B43" s="422" t="s">
        <v>2564</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41"/>
      <c r="M43" s="1132"/>
      <c r="N43" s="1132"/>
      <c r="O43" s="1132"/>
      <c r="P43" s="3218"/>
      <c r="Q43" s="1810" t="str">
        <f t="shared" si="11"/>
        <v>内部装修维护情况</v>
      </c>
      <c r="R43" s="774" t="s">
        <v>21</v>
      </c>
      <c r="S43" s="775">
        <f t="shared" si="12"/>
        <v>100</v>
      </c>
      <c r="T43" s="774" t="s">
        <v>21</v>
      </c>
      <c r="U43" s="775">
        <f t="shared" si="13"/>
        <v>100</v>
      </c>
      <c r="V43" s="774" t="s">
        <v>21</v>
      </c>
      <c r="W43" s="775">
        <f t="shared" si="14"/>
        <v>100</v>
      </c>
      <c r="X43" s="1813"/>
      <c r="Y43" s="3220"/>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3"/>
      <c r="M44" s="1134"/>
      <c r="N44" s="1134"/>
      <c r="O44" s="1134"/>
      <c r="P44" s="3218"/>
      <c r="Q44" s="1795">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41"/>
      <c r="M45" s="1132"/>
      <c r="N45" s="1132"/>
      <c r="O45" s="1132"/>
      <c r="P45" s="3218"/>
      <c r="Q45" s="1810">
        <f t="shared" si="11"/>
        <v>111</v>
      </c>
      <c r="R45" s="774" t="s">
        <v>21</v>
      </c>
      <c r="S45" s="775">
        <f t="shared" si="12"/>
        <v>100</v>
      </c>
      <c r="T45" s="774" t="s">
        <v>21</v>
      </c>
      <c r="U45" s="775">
        <f t="shared" si="13"/>
        <v>100</v>
      </c>
      <c r="V45" s="774" t="s">
        <v>21</v>
      </c>
      <c r="W45" s="775">
        <f t="shared" si="14"/>
        <v>100</v>
      </c>
      <c r="X45" s="1813"/>
      <c r="Y45" s="3220"/>
      <c r="Z45" s="1814">
        <f t="shared" si="18"/>
        <v>111</v>
      </c>
      <c r="AA45" s="1811">
        <f t="shared" si="15"/>
        <v>1</v>
      </c>
      <c r="AB45" s="1811">
        <f t="shared" si="16"/>
        <v>1</v>
      </c>
      <c r="AC45" s="1811">
        <f t="shared" si="17"/>
        <v>1</v>
      </c>
    </row>
    <row r="46" spans="1:29" ht="15.75"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41"/>
      <c r="M46" s="1132"/>
      <c r="N46" s="1132"/>
      <c r="O46" s="1132"/>
      <c r="P46" s="3219"/>
      <c r="Q46" s="1810">
        <f t="shared" si="11"/>
        <v>111</v>
      </c>
      <c r="R46" s="774" t="s">
        <v>20</v>
      </c>
      <c r="S46" s="775">
        <f t="shared" si="12"/>
        <v>100</v>
      </c>
      <c r="T46" s="774" t="s">
        <v>20</v>
      </c>
      <c r="U46" s="775">
        <f t="shared" si="13"/>
        <v>100</v>
      </c>
      <c r="V46" s="774" t="s">
        <v>20</v>
      </c>
      <c r="W46" s="775">
        <f t="shared" si="14"/>
        <v>100</v>
      </c>
      <c r="X46" s="1813"/>
      <c r="Y46" s="3221"/>
      <c r="Z46" s="1814">
        <f t="shared" si="18"/>
        <v>111</v>
      </c>
      <c r="AA46" s="1811">
        <f t="shared" si="15"/>
        <v>1</v>
      </c>
      <c r="AB46" s="1811">
        <f t="shared" si="16"/>
        <v>1</v>
      </c>
      <c r="AC46" s="1811">
        <f t="shared" si="17"/>
        <v>1</v>
      </c>
    </row>
    <row r="47" spans="1:29" ht="15">
      <c r="A47" s="479" t="s">
        <v>2565</v>
      </c>
      <c r="B47" s="480"/>
      <c r="C47" s="1408" t="s">
        <v>19</v>
      </c>
      <c r="D47" s="1409"/>
      <c r="E47" s="1410"/>
      <c r="F47" s="1411"/>
      <c r="G47" s="1412"/>
      <c r="H47" s="1413"/>
      <c r="I47" s="1410"/>
      <c r="J47" s="1413"/>
      <c r="K47" s="2610"/>
      <c r="L47" s="1144"/>
      <c r="M47" s="1145"/>
      <c r="N47" s="1132"/>
      <c r="O47" s="1145"/>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2566</v>
      </c>
      <c r="B48" s="487"/>
      <c r="C48" s="1414" t="e">
        <f>R49</f>
        <v>#DIV/0!</v>
      </c>
      <c r="D48" s="1415"/>
      <c r="E48" s="1416" t="e">
        <f>R48</f>
        <v>#DIV/0!</v>
      </c>
      <c r="F48" s="1416"/>
      <c r="G48" s="1414" t="e">
        <f>T48</f>
        <v>#DIV/0!</v>
      </c>
      <c r="H48" s="1415"/>
      <c r="I48" s="1416" t="e">
        <f>V48</f>
        <v>#DIV/0!</v>
      </c>
      <c r="J48" s="1415"/>
      <c r="K48" s="2611"/>
      <c r="L48" s="1144"/>
      <c r="M48" s="1145"/>
      <c r="N48" s="1145"/>
      <c r="O48" s="1145"/>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2567</v>
      </c>
      <c r="B49" s="493"/>
      <c r="C49" s="1417" t="e">
        <f>R49</f>
        <v>#DIV/0!</v>
      </c>
      <c r="D49" s="1418"/>
      <c r="E49" s="1418"/>
      <c r="F49" s="1418"/>
      <c r="G49" s="1418"/>
      <c r="H49" s="1418"/>
      <c r="I49" s="1418"/>
      <c r="J49" s="1418"/>
      <c r="K49" s="2612"/>
      <c r="L49" s="1144"/>
      <c r="M49" s="1145"/>
      <c r="N49" s="1145"/>
      <c r="O49" s="1145"/>
      <c r="P49" s="3257" t="str">
        <f>A49</f>
        <v>估价对象XX用房的比较价值（楼面单价，元/平方米）</v>
      </c>
      <c r="Q49" s="3258"/>
      <c r="R49" s="3259" t="e">
        <f>IF(F1="售价",ROUND(AVERAGE(R48:V48),0),ROUND(AVERAGE(R48:V48),1))</f>
        <v>#DIV/0!</v>
      </c>
      <c r="S49" s="3259"/>
      <c r="T49" s="3259"/>
      <c r="U49" s="3259"/>
      <c r="V49" s="3259"/>
      <c r="W49" s="3259"/>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14"/>
    </row>
    <row r="55" spans="1:29" s="502" customFormat="1">
      <c r="A55" s="1146"/>
      <c r="B55" s="1147"/>
      <c r="C55" s="1151"/>
      <c r="D55" s="1146"/>
      <c r="E55" s="1146"/>
      <c r="F55" s="1146"/>
      <c r="G55" s="1146"/>
      <c r="H55" s="1146"/>
      <c r="I55" s="1146"/>
      <c r="J55" s="1146"/>
      <c r="K55" s="1149"/>
      <c r="L55" s="1150"/>
      <c r="M55" s="1146"/>
      <c r="N55" s="1146"/>
      <c r="O55" s="1146"/>
      <c r="P55" s="2614"/>
    </row>
    <row r="56" spans="1:29">
      <c r="A56" s="1145"/>
      <c r="B56" s="1147"/>
      <c r="C56" s="1151"/>
      <c r="D56" s="1145"/>
      <c r="E56" s="1145"/>
      <c r="F56" s="1145"/>
      <c r="G56" s="1145"/>
      <c r="H56" s="1145"/>
      <c r="I56" s="1145"/>
      <c r="J56" s="1145"/>
      <c r="K56" s="1106"/>
      <c r="L56" s="1107"/>
      <c r="M56" s="1145"/>
      <c r="N56" s="1145"/>
      <c r="O56" s="1145"/>
    </row>
    <row r="57" spans="1:29" ht="21.75" thickBot="1">
      <c r="A57" s="763" t="s">
        <v>2571</v>
      </c>
      <c r="B57" s="759"/>
      <c r="C57" s="764"/>
      <c r="D57" s="764"/>
      <c r="E57" s="764"/>
      <c r="F57" s="765"/>
      <c r="G57" s="765"/>
      <c r="H57" s="764"/>
      <c r="I57" s="764"/>
      <c r="J57" s="764"/>
      <c r="K57" s="1161"/>
      <c r="L57" s="1162"/>
      <c r="M57" s="1160"/>
      <c r="N57" s="1160"/>
      <c r="O57" s="1160"/>
      <c r="P57" s="2615"/>
      <c r="Q57" s="504"/>
    </row>
    <row r="58" spans="1:29" s="508" customFormat="1" ht="15">
      <c r="A58" s="505" t="s">
        <v>2572</v>
      </c>
      <c r="B58" s="506"/>
      <c r="C58" s="1576" t="str">
        <f>YEAR(C7)&amp;"-"&amp;MONTH(C7)</f>
        <v>2018-7</v>
      </c>
      <c r="D58" s="1575">
        <f>EDATE(C58,-1)</f>
        <v>43252</v>
      </c>
      <c r="E58" s="1575">
        <f>EDATE(D58,-1)</f>
        <v>43221</v>
      </c>
      <c r="F58" s="1575">
        <f t="shared" ref="F58:O58" si="19">EDATE(E58,-1)</f>
        <v>43191</v>
      </c>
      <c r="G58" s="1575">
        <f t="shared" si="19"/>
        <v>43160</v>
      </c>
      <c r="H58" s="1575">
        <f t="shared" si="19"/>
        <v>43132</v>
      </c>
      <c r="I58" s="1575">
        <f t="shared" si="19"/>
        <v>43101</v>
      </c>
      <c r="J58" s="1575">
        <f t="shared" si="19"/>
        <v>43070</v>
      </c>
      <c r="K58" s="1575">
        <f t="shared" si="19"/>
        <v>43040</v>
      </c>
      <c r="L58" s="1575">
        <f t="shared" si="19"/>
        <v>43009</v>
      </c>
      <c r="M58" s="1575">
        <f t="shared" si="19"/>
        <v>42979</v>
      </c>
      <c r="N58" s="1575">
        <f t="shared" si="19"/>
        <v>42948</v>
      </c>
      <c r="O58" s="1575">
        <f t="shared" si="19"/>
        <v>42917</v>
      </c>
      <c r="P58" s="1570"/>
    </row>
    <row r="59" spans="1:29" s="117" customFormat="1" ht="15">
      <c r="A59" s="509"/>
      <c r="B59" s="2616"/>
      <c r="C59" s="1573">
        <v>100</v>
      </c>
      <c r="D59" s="511"/>
      <c r="E59" s="512"/>
      <c r="F59" s="512"/>
      <c r="G59" s="512"/>
      <c r="H59" s="512"/>
      <c r="I59" s="512"/>
      <c r="J59" s="512"/>
      <c r="K59" s="512"/>
      <c r="L59" s="512"/>
      <c r="M59" s="513"/>
      <c r="N59" s="512"/>
      <c r="O59" s="513"/>
      <c r="P59" s="2617"/>
    </row>
    <row r="60" spans="1:29" s="117" customFormat="1" ht="15.75" thickBot="1">
      <c r="A60" s="515" t="s">
        <v>2573</v>
      </c>
      <c r="B60" s="516"/>
      <c r="C60" s="517"/>
      <c r="D60" s="518"/>
      <c r="E60" s="518"/>
      <c r="F60" s="518"/>
      <c r="G60" s="518"/>
      <c r="H60" s="518"/>
      <c r="I60" s="518"/>
      <c r="J60" s="518"/>
      <c r="K60" s="518"/>
      <c r="L60" s="518"/>
      <c r="M60" s="519"/>
      <c r="N60" s="518"/>
      <c r="O60" s="519"/>
      <c r="P60" s="2617"/>
      <c r="Q60" s="504"/>
    </row>
    <row r="61" spans="1:29" s="117" customFormat="1" ht="15">
      <c r="A61" s="521" t="s">
        <v>2574</v>
      </c>
      <c r="B61" s="510"/>
      <c r="C61" s="522" t="s">
        <v>2575</v>
      </c>
      <c r="D61" s="523"/>
      <c r="E61" s="523"/>
      <c r="F61" s="523"/>
      <c r="G61" s="523"/>
      <c r="H61" s="523"/>
      <c r="I61" s="523"/>
      <c r="J61" s="523"/>
      <c r="K61" s="523"/>
      <c r="L61" s="524"/>
      <c r="M61" s="525"/>
      <c r="N61" s="1152"/>
      <c r="O61" s="1152"/>
      <c r="P61" s="2618"/>
      <c r="Q61" s="504"/>
    </row>
    <row r="62" spans="1:29" s="117" customFormat="1" ht="15.75" thickBot="1">
      <c r="A62" s="521"/>
      <c r="B62" s="510"/>
      <c r="C62" s="511">
        <v>100</v>
      </c>
      <c r="D62" s="512"/>
      <c r="E62" s="512"/>
      <c r="F62" s="512"/>
      <c r="G62" s="512"/>
      <c r="H62" s="512"/>
      <c r="I62" s="512"/>
      <c r="J62" s="512"/>
      <c r="K62" s="512"/>
      <c r="L62" s="512"/>
      <c r="M62" s="514"/>
      <c r="N62" s="1152"/>
      <c r="O62" s="1152"/>
      <c r="P62" s="2617"/>
      <c r="Q62" s="504"/>
    </row>
    <row r="63" spans="1:29">
      <c r="A63" s="527" t="s">
        <v>2576</v>
      </c>
      <c r="B63" s="528" t="s">
        <v>2542</v>
      </c>
      <c r="C63" s="529">
        <f>C9</f>
        <v>0</v>
      </c>
      <c r="D63" s="530"/>
      <c r="E63" s="530"/>
      <c r="F63" s="530"/>
      <c r="G63" s="530"/>
      <c r="H63" s="530"/>
      <c r="I63" s="530"/>
      <c r="J63" s="530"/>
      <c r="K63" s="531"/>
      <c r="L63" s="532"/>
      <c r="M63" s="533"/>
      <c r="N63" s="1153"/>
      <c r="O63" s="1153"/>
      <c r="P63" s="2619"/>
      <c r="Q63" s="504"/>
    </row>
    <row r="64" spans="1:29" ht="15.75" thickBot="1">
      <c r="A64" s="534"/>
      <c r="B64" s="535"/>
      <c r="C64" s="536">
        <v>100</v>
      </c>
      <c r="D64" s="536"/>
      <c r="E64" s="536"/>
      <c r="F64" s="536"/>
      <c r="G64" s="536"/>
      <c r="H64" s="536"/>
      <c r="I64" s="536"/>
      <c r="J64" s="536"/>
      <c r="K64" s="536"/>
      <c r="L64" s="536"/>
      <c r="M64" s="537"/>
      <c r="N64" s="1154"/>
      <c r="O64" s="1154"/>
      <c r="P64" s="261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1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19"/>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19"/>
      <c r="Q67" s="504"/>
    </row>
    <row r="68" spans="1:17" ht="15">
      <c r="A68" s="534"/>
      <c r="B68" s="548"/>
      <c r="C68" s="549"/>
      <c r="D68" s="549"/>
      <c r="E68" s="549"/>
      <c r="F68" s="549"/>
      <c r="G68" s="549"/>
      <c r="H68" s="549"/>
      <c r="I68" s="549"/>
      <c r="J68" s="549"/>
      <c r="K68" s="550"/>
      <c r="L68" s="551"/>
      <c r="M68" s="552"/>
      <c r="N68" s="1153"/>
      <c r="O68" s="1153"/>
      <c r="P68" s="261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19"/>
      <c r="Q69" s="504"/>
    </row>
    <row r="70" spans="1:17" s="471" customFormat="1" ht="15.75" thickTop="1">
      <c r="A70" s="553"/>
      <c r="B70" s="538">
        <f>B12</f>
        <v>111</v>
      </c>
      <c r="C70" s="554"/>
      <c r="D70" s="554"/>
      <c r="E70" s="554"/>
      <c r="F70" s="554"/>
      <c r="G70" s="554"/>
      <c r="H70" s="555"/>
      <c r="I70" s="555"/>
      <c r="J70" s="555"/>
      <c r="K70" s="555"/>
      <c r="L70" s="556"/>
      <c r="M70" s="557"/>
      <c r="N70" s="1155"/>
      <c r="O70" s="1155"/>
      <c r="P70" s="2620"/>
      <c r="Q70" s="559"/>
    </row>
    <row r="71" spans="1:17" s="471" customFormat="1" ht="15.75" thickBot="1">
      <c r="A71" s="553"/>
      <c r="B71" s="543"/>
      <c r="C71" s="560"/>
      <c r="D71" s="536"/>
      <c r="E71" s="536"/>
      <c r="F71" s="536"/>
      <c r="G71" s="536"/>
      <c r="H71" s="536"/>
      <c r="I71" s="536"/>
      <c r="J71" s="536"/>
      <c r="K71" s="536"/>
      <c r="L71" s="536"/>
      <c r="M71" s="537"/>
      <c r="N71" s="1154"/>
      <c r="O71" s="1154"/>
      <c r="P71" s="2620"/>
      <c r="Q71" s="559"/>
    </row>
    <row r="72" spans="1:17" s="471" customFormat="1" ht="15.75" thickTop="1">
      <c r="A72" s="553"/>
      <c r="B72" s="538">
        <f>B13</f>
        <v>111</v>
      </c>
      <c r="C72" s="554"/>
      <c r="D72" s="554"/>
      <c r="E72" s="554"/>
      <c r="F72" s="554"/>
      <c r="G72" s="554"/>
      <c r="H72" s="555"/>
      <c r="I72" s="555"/>
      <c r="J72" s="555"/>
      <c r="K72" s="555"/>
      <c r="L72" s="556"/>
      <c r="M72" s="557"/>
      <c r="N72" s="1155"/>
      <c r="O72" s="1155"/>
      <c r="P72" s="2621"/>
      <c r="Q72" s="561"/>
    </row>
    <row r="73" spans="1:17" s="471" customFormat="1" ht="15.75" thickBot="1">
      <c r="A73" s="553"/>
      <c r="B73" s="543"/>
      <c r="C73" s="560"/>
      <c r="D73" s="560"/>
      <c r="E73" s="560"/>
      <c r="F73" s="560"/>
      <c r="G73" s="560"/>
      <c r="H73" s="562"/>
      <c r="I73" s="562"/>
      <c r="J73" s="562"/>
      <c r="K73" s="562"/>
      <c r="L73" s="562"/>
      <c r="M73" s="563"/>
      <c r="N73" s="1155"/>
      <c r="O73" s="1155"/>
      <c r="P73" s="2620"/>
      <c r="Q73" s="559"/>
    </row>
    <row r="74" spans="1:17" s="471" customFormat="1" ht="15.75" thickTop="1">
      <c r="A74" s="553"/>
      <c r="B74" s="546">
        <f>B14</f>
        <v>111</v>
      </c>
      <c r="C74" s="554"/>
      <c r="D74" s="554"/>
      <c r="E74" s="554"/>
      <c r="F74" s="554"/>
      <c r="G74" s="523"/>
      <c r="H74" s="564"/>
      <c r="I74" s="564"/>
      <c r="J74" s="564"/>
      <c r="K74" s="564"/>
      <c r="L74" s="565"/>
      <c r="M74" s="566"/>
      <c r="N74" s="1155"/>
      <c r="O74" s="1155"/>
      <c r="P74" s="2622"/>
      <c r="Q74" s="559"/>
    </row>
    <row r="75" spans="1:17" s="471" customFormat="1" ht="15.75" thickBot="1">
      <c r="A75" s="568"/>
      <c r="B75" s="569"/>
      <c r="C75" s="570"/>
      <c r="D75" s="570"/>
      <c r="E75" s="570"/>
      <c r="F75" s="570"/>
      <c r="G75" s="570"/>
      <c r="H75" s="571"/>
      <c r="I75" s="571"/>
      <c r="J75" s="571"/>
      <c r="K75" s="571"/>
      <c r="L75" s="571"/>
      <c r="M75" s="572"/>
      <c r="N75" s="1155"/>
      <c r="O75" s="1155"/>
      <c r="P75" s="262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3"/>
      <c r="O76" s="1153"/>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1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1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19"/>
      <c r="Q81" s="504"/>
    </row>
    <row r="82" spans="1:17" ht="15.75" thickTop="1">
      <c r="A82" s="534"/>
      <c r="B82" s="546" t="s">
        <v>2090</v>
      </c>
      <c r="C82" s="539" t="s">
        <v>2592</v>
      </c>
      <c r="D82" s="539" t="s">
        <v>2593</v>
      </c>
      <c r="E82" s="539" t="s">
        <v>2594</v>
      </c>
      <c r="F82" s="539" t="s">
        <v>2595</v>
      </c>
      <c r="G82" s="539" t="s">
        <v>2596</v>
      </c>
      <c r="H82" s="539"/>
      <c r="I82" s="539"/>
      <c r="J82" s="539"/>
      <c r="K82" s="539"/>
      <c r="L82" s="539"/>
      <c r="M82" s="1383"/>
      <c r="N82" s="1154"/>
      <c r="O82" s="1154"/>
      <c r="P82" s="261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1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19"/>
      <c r="Q85" s="504"/>
    </row>
    <row r="86" spans="1:17" s="117" customFormat="1" ht="15.75" thickTop="1">
      <c r="A86" s="579"/>
      <c r="B86" s="538" t="s">
        <v>2598</v>
      </c>
      <c r="C86" s="554"/>
      <c r="D86" s="554"/>
      <c r="E86" s="554"/>
      <c r="F86" s="554"/>
      <c r="G86" s="554"/>
      <c r="H86" s="554"/>
      <c r="I86" s="554"/>
      <c r="J86" s="554"/>
      <c r="K86" s="554"/>
      <c r="L86" s="580"/>
      <c r="M86" s="581"/>
      <c r="N86" s="1152"/>
      <c r="O86" s="1152"/>
      <c r="P86" s="261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19"/>
      <c r="Q87" s="504"/>
    </row>
    <row r="88" spans="1:17" s="117" customFormat="1" ht="15.75" thickTop="1">
      <c r="A88" s="579"/>
      <c r="B88" s="538" t="s">
        <v>2599</v>
      </c>
      <c r="C88" s="554"/>
      <c r="D88" s="554"/>
      <c r="E88" s="554"/>
      <c r="F88" s="2624"/>
      <c r="G88" s="554"/>
      <c r="H88" s="554"/>
      <c r="I88" s="554"/>
      <c r="J88" s="554"/>
      <c r="K88" s="554"/>
      <c r="L88" s="554"/>
      <c r="M88" s="581"/>
      <c r="N88" s="1152"/>
      <c r="O88" s="1152"/>
      <c r="P88" s="261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19"/>
      <c r="Q89" s="504"/>
    </row>
    <row r="90" spans="1:17" s="471" customFormat="1" ht="15.75" thickTop="1">
      <c r="A90" s="553"/>
      <c r="B90" s="538">
        <f>B27</f>
        <v>111</v>
      </c>
      <c r="C90" s="554"/>
      <c r="D90" s="554"/>
      <c r="E90" s="554"/>
      <c r="F90" s="554"/>
      <c r="G90" s="554"/>
      <c r="H90" s="555"/>
      <c r="I90" s="555"/>
      <c r="J90" s="555"/>
      <c r="K90" s="555"/>
      <c r="L90" s="556"/>
      <c r="M90" s="557"/>
      <c r="N90" s="1155"/>
      <c r="O90" s="1155"/>
      <c r="P90" s="2620"/>
      <c r="Q90" s="559"/>
    </row>
    <row r="91" spans="1:17" s="471" customFormat="1" ht="15.75" thickBot="1">
      <c r="A91" s="553"/>
      <c r="B91" s="543"/>
      <c r="C91" s="560"/>
      <c r="D91" s="560"/>
      <c r="E91" s="560"/>
      <c r="F91" s="560"/>
      <c r="G91" s="560"/>
      <c r="H91" s="562"/>
      <c r="I91" s="562"/>
      <c r="J91" s="562"/>
      <c r="K91" s="562"/>
      <c r="L91" s="562"/>
      <c r="M91" s="563"/>
      <c r="N91" s="1155"/>
      <c r="O91" s="1155"/>
      <c r="P91" s="2620"/>
      <c r="Q91" s="559"/>
    </row>
    <row r="92" spans="1:17" ht="15.75" thickTop="1">
      <c r="A92" s="534"/>
      <c r="B92" s="538">
        <f>B28</f>
        <v>111</v>
      </c>
      <c r="C92" s="554"/>
      <c r="D92" s="554"/>
      <c r="E92" s="554"/>
      <c r="F92" s="554"/>
      <c r="G92" s="583"/>
      <c r="H92" s="583"/>
      <c r="I92" s="583"/>
      <c r="J92" s="583"/>
      <c r="K92" s="584"/>
      <c r="L92" s="585"/>
      <c r="M92" s="586"/>
      <c r="N92" s="1153"/>
      <c r="O92" s="1153"/>
      <c r="P92" s="2619"/>
      <c r="Q92" s="504"/>
    </row>
    <row r="93" spans="1:17" ht="15.75" thickBot="1">
      <c r="A93" s="534"/>
      <c r="B93" s="543"/>
      <c r="C93" s="560"/>
      <c r="D93" s="536"/>
      <c r="E93" s="536"/>
      <c r="F93" s="536"/>
      <c r="G93" s="536"/>
      <c r="H93" s="536"/>
      <c r="I93" s="536"/>
      <c r="J93" s="536"/>
      <c r="K93" s="536"/>
      <c r="L93" s="536"/>
      <c r="M93" s="537"/>
      <c r="N93" s="1154"/>
      <c r="O93" s="1154"/>
      <c r="P93" s="2619"/>
      <c r="Q93" s="504"/>
    </row>
    <row r="94" spans="1:17" ht="15.75" thickTop="1">
      <c r="A94" s="534"/>
      <c r="B94" s="538">
        <f>B29</f>
        <v>111</v>
      </c>
      <c r="C94" s="554"/>
      <c r="D94" s="554"/>
      <c r="E94" s="554"/>
      <c r="F94" s="554"/>
      <c r="G94" s="583"/>
      <c r="H94" s="583"/>
      <c r="I94" s="583"/>
      <c r="J94" s="583"/>
      <c r="K94" s="584"/>
      <c r="L94" s="585"/>
      <c r="M94" s="586"/>
      <c r="N94" s="1153"/>
      <c r="O94" s="1153"/>
      <c r="P94" s="2619"/>
      <c r="Q94" s="504"/>
    </row>
    <row r="95" spans="1:17" ht="15.75" thickBot="1">
      <c r="A95" s="534"/>
      <c r="B95" s="543"/>
      <c r="C95" s="560"/>
      <c r="D95" s="560"/>
      <c r="E95" s="560"/>
      <c r="F95" s="560"/>
      <c r="G95" s="536"/>
      <c r="H95" s="536"/>
      <c r="I95" s="536"/>
      <c r="J95" s="536"/>
      <c r="K95" s="536"/>
      <c r="L95" s="536"/>
      <c r="M95" s="537"/>
      <c r="N95" s="1154"/>
      <c r="O95" s="1154"/>
      <c r="P95" s="2619"/>
      <c r="Q95" s="504"/>
    </row>
    <row r="96" spans="1:17" ht="15.75" thickTop="1">
      <c r="A96" s="534"/>
      <c r="B96" s="538">
        <f>B30</f>
        <v>111</v>
      </c>
      <c r="C96" s="554"/>
      <c r="D96" s="554"/>
      <c r="E96" s="554"/>
      <c r="F96" s="554"/>
      <c r="G96" s="583"/>
      <c r="H96" s="583"/>
      <c r="I96" s="583"/>
      <c r="J96" s="583"/>
      <c r="K96" s="584"/>
      <c r="L96" s="585"/>
      <c r="M96" s="586"/>
      <c r="N96" s="1153"/>
      <c r="O96" s="1153"/>
      <c r="P96" s="2619"/>
      <c r="Q96" s="504"/>
    </row>
    <row r="97" spans="1:17" ht="15.75" thickBot="1">
      <c r="A97" s="534"/>
      <c r="B97" s="543"/>
      <c r="C97" s="570"/>
      <c r="D97" s="570"/>
      <c r="E97" s="570"/>
      <c r="F97" s="570"/>
      <c r="G97" s="536"/>
      <c r="H97" s="536"/>
      <c r="I97" s="536"/>
      <c r="J97" s="536"/>
      <c r="K97" s="536"/>
      <c r="L97" s="536"/>
      <c r="M97" s="537"/>
      <c r="N97" s="1154"/>
      <c r="O97" s="1154"/>
      <c r="P97" s="2619"/>
      <c r="Q97" s="504"/>
    </row>
    <row r="98" spans="1:17" ht="15.75" thickTop="1">
      <c r="A98" s="534"/>
      <c r="B98" s="546">
        <f>B31</f>
        <v>111</v>
      </c>
      <c r="C98" s="587"/>
      <c r="D98" s="587"/>
      <c r="E98" s="587"/>
      <c r="F98" s="587"/>
      <c r="G98" s="587"/>
      <c r="H98" s="587"/>
      <c r="I98" s="587"/>
      <c r="J98" s="587"/>
      <c r="K98" s="588"/>
      <c r="L98" s="589"/>
      <c r="M98" s="590"/>
      <c r="N98" s="1153"/>
      <c r="O98" s="1153"/>
      <c r="P98" s="2619"/>
      <c r="Q98" s="504"/>
    </row>
    <row r="99" spans="1:17" ht="15.75" thickBot="1">
      <c r="A99" s="2625"/>
      <c r="B99" s="569"/>
      <c r="C99" s="591"/>
      <c r="D99" s="591"/>
      <c r="E99" s="591"/>
      <c r="F99" s="591"/>
      <c r="G99" s="591"/>
      <c r="H99" s="591"/>
      <c r="I99" s="591"/>
      <c r="J99" s="591"/>
      <c r="K99" s="591"/>
      <c r="L99" s="591"/>
      <c r="M99" s="592"/>
      <c r="N99" s="1154"/>
      <c r="O99" s="1154"/>
      <c r="P99" s="2619"/>
      <c r="Q99" s="504"/>
    </row>
    <row r="100" spans="1:17">
      <c r="A100" s="527" t="s">
        <v>2551</v>
      </c>
      <c r="B100" s="528" t="s">
        <v>2600</v>
      </c>
      <c r="C100" s="530"/>
      <c r="D100" s="530"/>
      <c r="E100" s="530"/>
      <c r="F100" s="530"/>
      <c r="G100" s="530"/>
      <c r="H100" s="530"/>
      <c r="I100" s="530"/>
      <c r="J100" s="530"/>
      <c r="K100" s="531"/>
      <c r="L100" s="532"/>
      <c r="M100" s="533"/>
      <c r="N100" s="1153"/>
      <c r="O100" s="1153"/>
      <c r="P100" s="261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19"/>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19"/>
      <c r="Q102" s="504"/>
    </row>
    <row r="103" spans="1:17" s="471" customFormat="1">
      <c r="A103" s="593"/>
      <c r="B103" s="594"/>
      <c r="C103" s="595"/>
      <c r="D103" s="595"/>
      <c r="E103" s="595"/>
      <c r="F103" s="595"/>
      <c r="G103" s="595"/>
      <c r="H103" s="595"/>
      <c r="I103" s="595"/>
      <c r="J103" s="596"/>
      <c r="K103" s="596"/>
      <c r="L103" s="597"/>
      <c r="M103" s="598"/>
      <c r="N103" s="1155"/>
      <c r="O103" s="1155"/>
      <c r="P103" s="2620"/>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0"/>
      <c r="Q104" s="559"/>
    </row>
    <row r="105" spans="1:17" ht="15" thickTop="1">
      <c r="A105" s="599"/>
      <c r="B105" s="538" t="s">
        <v>2602</v>
      </c>
      <c r="C105" s="554"/>
      <c r="D105" s="554"/>
      <c r="E105" s="583"/>
      <c r="F105" s="583"/>
      <c r="G105" s="583"/>
      <c r="H105" s="583"/>
      <c r="I105" s="583"/>
      <c r="J105" s="583"/>
      <c r="K105" s="584"/>
      <c r="L105" s="585"/>
      <c r="M105" s="586"/>
      <c r="N105" s="1153"/>
      <c r="O105" s="1153"/>
      <c r="P105" s="261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19"/>
      <c r="Q106" s="504"/>
    </row>
    <row r="107" spans="1:17" ht="15" thickTop="1">
      <c r="A107" s="599"/>
      <c r="B107" s="538" t="s">
        <v>2603</v>
      </c>
      <c r="C107" s="583"/>
      <c r="D107" s="583"/>
      <c r="E107" s="583"/>
      <c r="F107" s="583"/>
      <c r="G107" s="583"/>
      <c r="H107" s="583"/>
      <c r="I107" s="583"/>
      <c r="J107" s="583"/>
      <c r="K107" s="584"/>
      <c r="L107" s="585"/>
      <c r="M107" s="586"/>
      <c r="N107" s="1153"/>
      <c r="O107" s="1153"/>
      <c r="P107" s="261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19"/>
      <c r="Q108" s="504"/>
    </row>
    <row r="109" spans="1:17" ht="15" thickTop="1">
      <c r="A109" s="599"/>
      <c r="B109" s="538" t="s">
        <v>2604</v>
      </c>
      <c r="C109" s="554"/>
      <c r="D109" s="554"/>
      <c r="E109" s="554"/>
      <c r="F109" s="583"/>
      <c r="G109" s="583"/>
      <c r="H109" s="583"/>
      <c r="I109" s="583"/>
      <c r="J109" s="583"/>
      <c r="K109" s="584"/>
      <c r="L109" s="585"/>
      <c r="M109" s="586"/>
      <c r="N109" s="1153"/>
      <c r="O109" s="1153"/>
      <c r="P109" s="261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1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0"/>
      <c r="Q113" s="559"/>
    </row>
    <row r="114" spans="1:17" ht="15" thickTop="1">
      <c r="A114" s="599"/>
      <c r="B114" s="538" t="s">
        <v>2605</v>
      </c>
      <c r="C114" s="554"/>
      <c r="D114" s="554"/>
      <c r="E114" s="583"/>
      <c r="F114" s="583"/>
      <c r="G114" s="583"/>
      <c r="H114" s="583"/>
      <c r="I114" s="583"/>
      <c r="J114" s="583"/>
      <c r="K114" s="584"/>
      <c r="L114" s="585"/>
      <c r="M114" s="586"/>
      <c r="N114" s="1153"/>
      <c r="O114" s="1153"/>
      <c r="P114" s="261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19"/>
      <c r="Q115" s="504"/>
    </row>
    <row r="116" spans="1:17" ht="15" thickTop="1">
      <c r="A116" s="599"/>
      <c r="B116" s="538" t="s">
        <v>2606</v>
      </c>
      <c r="C116" s="554"/>
      <c r="D116" s="554"/>
      <c r="E116" s="554"/>
      <c r="F116" s="554"/>
      <c r="G116" s="554"/>
      <c r="H116" s="583"/>
      <c r="I116" s="583"/>
      <c r="J116" s="583"/>
      <c r="K116" s="584"/>
      <c r="L116" s="585"/>
      <c r="M116" s="586"/>
      <c r="N116" s="1153"/>
      <c r="O116" s="1153"/>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19"/>
      <c r="Q117" s="504"/>
    </row>
    <row r="118" spans="1:17" ht="15" thickTop="1">
      <c r="A118" s="599"/>
      <c r="B118" s="538" t="s">
        <v>2607</v>
      </c>
      <c r="C118" s="583"/>
      <c r="D118" s="583"/>
      <c r="E118" s="583"/>
      <c r="F118" s="583"/>
      <c r="G118" s="583"/>
      <c r="H118" s="583"/>
      <c r="I118" s="583"/>
      <c r="J118" s="583"/>
      <c r="K118" s="584"/>
      <c r="L118" s="585"/>
      <c r="M118" s="586"/>
      <c r="N118" s="1153"/>
      <c r="O118" s="1153"/>
      <c r="P118" s="261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19"/>
      <c r="Q119" s="504"/>
    </row>
    <row r="120" spans="1:17" s="471" customFormat="1" ht="28.5" thickTop="1">
      <c r="A120" s="593"/>
      <c r="B120" s="538" t="s">
        <v>2562</v>
      </c>
      <c r="C120" s="554"/>
      <c r="D120" s="554"/>
      <c r="E120" s="554"/>
      <c r="F120" s="554"/>
      <c r="G120" s="554"/>
      <c r="H120" s="554"/>
      <c r="I120" s="554"/>
      <c r="J120" s="554"/>
      <c r="K120" s="554"/>
      <c r="L120" s="580"/>
      <c r="M120" s="581"/>
      <c r="N120" s="1155"/>
      <c r="O120" s="1155"/>
      <c r="P120" s="2620"/>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0"/>
      <c r="Q121" s="559"/>
    </row>
    <row r="122" spans="1:17" ht="15" thickTop="1">
      <c r="A122" s="599"/>
      <c r="B122" s="538" t="s">
        <v>2608</v>
      </c>
      <c r="C122" s="554"/>
      <c r="D122" s="554"/>
      <c r="E122" s="554"/>
      <c r="F122" s="583"/>
      <c r="G122" s="583"/>
      <c r="H122" s="583"/>
      <c r="I122" s="583"/>
      <c r="J122" s="583"/>
      <c r="K122" s="584"/>
      <c r="L122" s="585"/>
      <c r="M122" s="586"/>
      <c r="N122" s="1153"/>
      <c r="O122" s="1153"/>
      <c r="P122" s="261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1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1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0"/>
      <c r="Q127" s="559"/>
    </row>
    <row r="128" spans="1:17" ht="15" thickTop="1">
      <c r="A128" s="599"/>
      <c r="B128" s="538">
        <f>B45</f>
        <v>111</v>
      </c>
      <c r="C128" s="554"/>
      <c r="D128" s="554"/>
      <c r="E128" s="554"/>
      <c r="F128" s="554"/>
      <c r="G128" s="583"/>
      <c r="H128" s="583"/>
      <c r="I128" s="583"/>
      <c r="J128" s="583"/>
      <c r="K128" s="584"/>
      <c r="L128" s="585"/>
      <c r="M128" s="586"/>
      <c r="N128" s="1153"/>
      <c r="O128" s="1153"/>
      <c r="P128" s="2619"/>
      <c r="Q128" s="504"/>
    </row>
    <row r="129" spans="1:17" ht="15.75" thickBot="1">
      <c r="A129" s="534"/>
      <c r="B129" s="543"/>
      <c r="C129" s="560"/>
      <c r="D129" s="560"/>
      <c r="E129" s="560"/>
      <c r="F129" s="560"/>
      <c r="G129" s="536"/>
      <c r="H129" s="536"/>
      <c r="I129" s="536"/>
      <c r="J129" s="536"/>
      <c r="K129" s="536"/>
      <c r="L129" s="536"/>
      <c r="M129" s="537"/>
      <c r="N129" s="1154"/>
      <c r="O129" s="1154"/>
      <c r="P129" s="2619"/>
      <c r="Q129" s="504"/>
    </row>
    <row r="130" spans="1:17" ht="15" thickTop="1">
      <c r="A130" s="599"/>
      <c r="B130" s="546">
        <f>B46</f>
        <v>111</v>
      </c>
      <c r="C130" s="554"/>
      <c r="D130" s="554"/>
      <c r="E130" s="554"/>
      <c r="F130" s="554"/>
      <c r="G130" s="587"/>
      <c r="H130" s="587"/>
      <c r="I130" s="587"/>
      <c r="J130" s="587"/>
      <c r="K130" s="523"/>
      <c r="L130" s="524"/>
      <c r="M130" s="590"/>
      <c r="N130" s="1153"/>
      <c r="O130" s="1153"/>
      <c r="P130" s="2619"/>
      <c r="Q130" s="504"/>
    </row>
    <row r="131" spans="1:17" ht="15.75" thickBot="1">
      <c r="A131" s="2625"/>
      <c r="B131" s="569"/>
      <c r="C131" s="570"/>
      <c r="D131" s="570"/>
      <c r="E131" s="570"/>
      <c r="F131" s="570"/>
      <c r="G131" s="591"/>
      <c r="H131" s="591"/>
      <c r="I131" s="591"/>
      <c r="J131" s="591"/>
      <c r="K131" s="591"/>
      <c r="L131" s="591"/>
      <c r="M131" s="592"/>
      <c r="N131" s="1154"/>
      <c r="O131" s="1154"/>
      <c r="P131" s="2619"/>
      <c r="Q131" s="504"/>
    </row>
    <row r="136" spans="1:17" ht="15" thickBot="1">
      <c r="B136" s="2626" t="s">
        <v>2610</v>
      </c>
    </row>
    <row r="137" spans="1:17" ht="15">
      <c r="B137" s="2627" t="s">
        <v>2611</v>
      </c>
      <c r="C137" s="2628"/>
      <c r="D137" s="2628"/>
      <c r="E137" s="2628"/>
      <c r="F137" s="2628"/>
      <c r="G137" s="2629"/>
      <c r="H137" s="2630"/>
      <c r="I137" s="2631" t="s">
        <v>2612</v>
      </c>
      <c r="J137" s="2628"/>
      <c r="K137" s="2632"/>
    </row>
    <row r="138" spans="1:17" ht="15">
      <c r="B138" s="2633"/>
      <c r="C138" s="146" t="s">
        <v>2613</v>
      </c>
      <c r="D138" s="146" t="s">
        <v>2614</v>
      </c>
      <c r="E138" s="2634" t="s">
        <v>2615</v>
      </c>
      <c r="F138" s="2635" t="s">
        <v>2616</v>
      </c>
      <c r="G138" s="146" t="s">
        <v>2614</v>
      </c>
      <c r="H138" s="147" t="s">
        <v>2615</v>
      </c>
      <c r="I138" s="2636"/>
      <c r="J138" s="146" t="s">
        <v>2617</v>
      </c>
      <c r="K138" s="147" t="s">
        <v>2618</v>
      </c>
    </row>
    <row r="139" spans="1:17" ht="15">
      <c r="B139" s="1085">
        <v>6</v>
      </c>
      <c r="C139" s="1086">
        <v>96</v>
      </c>
      <c r="D139" s="2637" t="s">
        <v>2619</v>
      </c>
      <c r="E139" s="1087">
        <v>100</v>
      </c>
      <c r="F139" s="1088">
        <v>102.5</v>
      </c>
      <c r="G139" s="2637" t="s">
        <v>2619</v>
      </c>
      <c r="H139" s="1089">
        <v>105</v>
      </c>
      <c r="I139" s="2638" t="s">
        <v>2620</v>
      </c>
      <c r="J139" s="1086">
        <v>20</v>
      </c>
      <c r="K139" s="1090">
        <f>C145/(J139-2)</f>
        <v>4.0555555555555553E-3</v>
      </c>
    </row>
    <row r="140" spans="1:17" ht="15">
      <c r="B140" s="1091">
        <v>5</v>
      </c>
      <c r="C140" s="1092">
        <v>100</v>
      </c>
      <c r="D140" s="1092"/>
      <c r="E140" s="1093"/>
      <c r="F140" s="1094">
        <v>102</v>
      </c>
      <c r="G140" s="1092"/>
      <c r="H140" s="1095"/>
      <c r="I140" s="2639" t="s">
        <v>2621</v>
      </c>
      <c r="J140" s="315">
        <f>ROUNDUP((J139-1)/2,0)</f>
        <v>10</v>
      </c>
      <c r="K140" s="1096">
        <v>100</v>
      </c>
    </row>
    <row r="141" spans="1:17" ht="15">
      <c r="B141" s="1091">
        <v>4</v>
      </c>
      <c r="C141" s="1092">
        <v>102</v>
      </c>
      <c r="D141" s="1092"/>
      <c r="E141" s="1093"/>
      <c r="F141" s="1094">
        <v>101.5</v>
      </c>
      <c r="G141" s="1092"/>
      <c r="H141" s="1095"/>
      <c r="I141" s="2639" t="s">
        <v>2622</v>
      </c>
      <c r="J141" s="315">
        <v>1</v>
      </c>
      <c r="K141" s="1097">
        <f>ROUND(100+(J141-J140)*K139*100,1)</f>
        <v>96.4</v>
      </c>
    </row>
    <row r="142" spans="1:17" ht="15">
      <c r="B142" s="1091">
        <v>3</v>
      </c>
      <c r="C142" s="1092">
        <v>103</v>
      </c>
      <c r="D142" s="1092"/>
      <c r="E142" s="1093"/>
      <c r="F142" s="1094">
        <v>101</v>
      </c>
      <c r="G142" s="1092"/>
      <c r="H142" s="1095"/>
      <c r="I142" s="2639" t="s">
        <v>2623</v>
      </c>
      <c r="J142" s="315">
        <f>J139</f>
        <v>20</v>
      </c>
      <c r="K142" s="1098">
        <v>95</v>
      </c>
    </row>
    <row r="143" spans="1:17" ht="15">
      <c r="B143" s="1091">
        <v>2</v>
      </c>
      <c r="C143" s="1092">
        <v>100</v>
      </c>
      <c r="D143" s="1092"/>
      <c r="E143" s="1093"/>
      <c r="F143" s="1094">
        <v>100.5</v>
      </c>
      <c r="G143" s="1092"/>
      <c r="H143" s="1095"/>
      <c r="I143" s="2639" t="s">
        <v>2624</v>
      </c>
      <c r="J143" s="1092">
        <v>15</v>
      </c>
      <c r="K143" s="1097">
        <f>ROUND(100+(J143-J140)*K139*100,1)</f>
        <v>102</v>
      </c>
    </row>
    <row r="144" spans="1:17" ht="15">
      <c r="B144" s="1091">
        <v>1</v>
      </c>
      <c r="C144" s="1092">
        <v>98</v>
      </c>
      <c r="D144" s="2640" t="s">
        <v>2625</v>
      </c>
      <c r="E144" s="1093">
        <v>102</v>
      </c>
      <c r="F144" s="1099">
        <v>100</v>
      </c>
      <c r="G144" s="2640" t="s">
        <v>2625</v>
      </c>
      <c r="H144" s="1095">
        <v>105</v>
      </c>
      <c r="I144" s="2639" t="s">
        <v>2624</v>
      </c>
      <c r="J144" s="1092">
        <v>18</v>
      </c>
      <c r="K144" s="1097">
        <f>ROUND(100+(J144-J140)*K139*100,1)</f>
        <v>103.2</v>
      </c>
    </row>
    <row r="145" spans="2:11" ht="15.75" thickBot="1">
      <c r="B145" s="2641" t="s">
        <v>2626</v>
      </c>
      <c r="C145" s="1100">
        <f>ROUND(MAX(C139:C144)/MIN(C139:C144)-1,3)</f>
        <v>7.2999999999999995E-2</v>
      </c>
      <c r="D145" s="1101"/>
      <c r="E145" s="1101"/>
      <c r="F145" s="2642" t="s">
        <v>2627</v>
      </c>
      <c r="G145" s="2643"/>
      <c r="H145" s="2644"/>
      <c r="I145" s="2645" t="s">
        <v>2624</v>
      </c>
      <c r="J145" s="1102">
        <v>8</v>
      </c>
      <c r="K145" s="1103">
        <f>ROUND(100+(J145-J140)*K139*100,1)</f>
        <v>99.2</v>
      </c>
    </row>
    <row r="147" spans="2:11">
      <c r="B147" s="2626" t="s">
        <v>2628</v>
      </c>
    </row>
    <row r="148" spans="2:11">
      <c r="B148" s="2626"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71" t="s">
        <v>2630</v>
      </c>
      <c r="C1" s="1634" t="s">
        <v>2518</v>
      </c>
      <c r="D1" s="1621"/>
      <c r="E1" s="2646"/>
      <c r="F1" s="2573"/>
      <c r="G1" s="1631" t="s">
        <v>2631</v>
      </c>
      <c r="H1" s="1630"/>
      <c r="I1" s="1630"/>
      <c r="J1" s="1630"/>
      <c r="K1" s="1632"/>
      <c r="L1" s="1633"/>
      <c r="M1" s="1634"/>
      <c r="N1" s="1634"/>
      <c r="O1" s="1634"/>
      <c r="P1" s="2647"/>
      <c r="Q1" s="2648"/>
      <c r="R1" s="2648"/>
      <c r="S1" s="2648"/>
      <c r="T1" s="2648"/>
      <c r="U1" s="2648"/>
      <c r="V1" s="2648"/>
      <c r="W1" s="2648"/>
      <c r="X1" s="2648"/>
      <c r="Y1" s="2648"/>
      <c r="Z1" s="2648"/>
      <c r="AA1" s="2648"/>
      <c r="AB1" s="2648"/>
      <c r="AC1" s="2649"/>
    </row>
    <row r="2" spans="1:29" s="398" customFormat="1" ht="28.5" customHeight="1" thickTop="1">
      <c r="A2" s="1617" t="s">
        <v>2315</v>
      </c>
      <c r="B2" s="1419" t="e">
        <f ca="1">IF(C2="——",ROUND(C49*D3/10000,0),ROUND(C49*D3/10000,0)-D2)</f>
        <v>#DIV/0!</v>
      </c>
      <c r="C2" s="2575"/>
      <c r="D2" s="1366" t="e">
        <f ca="1">SUMIF(INDIRECT("'"&amp;F2&amp;"'"&amp;"!A:A"),"承租人权益价值",INDIRECT("'"&amp;F2&amp;"'"&amp;"!c:c"))</f>
        <v>#REF!</v>
      </c>
      <c r="E2" s="2576" t="s">
        <v>2316</v>
      </c>
      <c r="F2" s="2577"/>
      <c r="G2" s="1126"/>
      <c r="H2" s="1126"/>
      <c r="I2" s="1126"/>
      <c r="J2" s="1126"/>
      <c r="K2" s="1126"/>
      <c r="L2" s="1129"/>
      <c r="M2" s="1130"/>
      <c r="N2" s="1130"/>
      <c r="O2" s="1130"/>
      <c r="P2" s="2650"/>
      <c r="Q2" s="1130"/>
      <c r="R2" s="1130"/>
      <c r="S2" s="1130"/>
      <c r="T2" s="1130"/>
      <c r="U2" s="1130"/>
      <c r="V2" s="1130"/>
      <c r="W2" s="1130"/>
      <c r="X2" s="1130"/>
      <c r="Y2" s="1130"/>
      <c r="Z2" s="1130"/>
      <c r="AA2" s="1130"/>
      <c r="AB2" s="1130"/>
      <c r="AC2" s="2651"/>
    </row>
    <row r="3" spans="1:29" s="398" customFormat="1" ht="28.5" customHeight="1" thickBot="1">
      <c r="A3" s="247" t="s">
        <v>2317</v>
      </c>
      <c r="B3" s="609" t="e">
        <f ca="1">IF(C2="——",C49,ROUND(B2*10000/D3,0))</f>
        <v>#DIV/0!</v>
      </c>
      <c r="C3" s="400" t="s">
        <v>2632</v>
      </c>
      <c r="D3" s="399">
        <f>IF(D1="",'数据-汇总表'!E3,SUMIF('数据-汇总表'!$C19:$C33,D1,'数据-汇总表'!$E19:$E33))</f>
        <v>1812.99</v>
      </c>
      <c r="E3" s="2652"/>
      <c r="F3" s="1127"/>
      <c r="G3" s="1126"/>
      <c r="H3" s="1126"/>
      <c r="I3" s="1126"/>
      <c r="J3" s="1126"/>
      <c r="K3" s="1128"/>
      <c r="L3" s="1129"/>
      <c r="M3" s="1130"/>
      <c r="N3" s="1130"/>
      <c r="O3" s="1130"/>
      <c r="P3" s="2650"/>
      <c r="Q3" s="1130"/>
      <c r="R3" s="1130"/>
      <c r="S3" s="1130"/>
      <c r="T3" s="1130"/>
      <c r="U3" s="1130"/>
      <c r="V3" s="1130"/>
      <c r="W3" s="1130"/>
      <c r="X3" s="1130"/>
      <c r="Y3" s="1130"/>
      <c r="Z3" s="1130"/>
      <c r="AA3" s="1130"/>
      <c r="AB3" s="1130"/>
      <c r="AC3" s="2652"/>
    </row>
    <row r="4" spans="1:29" ht="15">
      <c r="A4" s="401" t="s">
        <v>2633</v>
      </c>
      <c r="B4" s="402"/>
      <c r="C4" s="3197" t="s">
        <v>2634</v>
      </c>
      <c r="D4" s="3198"/>
      <c r="E4" s="3199" t="s">
        <v>2635</v>
      </c>
      <c r="F4" s="3200"/>
      <c r="G4" s="3197" t="s">
        <v>2636</v>
      </c>
      <c r="H4" s="3198"/>
      <c r="I4" s="3197" t="s">
        <v>2637</v>
      </c>
      <c r="J4" s="3198"/>
      <c r="K4" s="610" t="s">
        <v>2638</v>
      </c>
      <c r="L4" s="1131"/>
      <c r="M4" s="1132"/>
      <c r="N4" s="1132"/>
      <c r="O4" s="1132"/>
      <c r="P4" s="3253" t="s">
        <v>2639</v>
      </c>
      <c r="Q4" s="3254"/>
      <c r="R4" s="3250" t="s">
        <v>2635</v>
      </c>
      <c r="S4" s="3251"/>
      <c r="T4" s="3250" t="s">
        <v>2636</v>
      </c>
      <c r="U4" s="3251"/>
      <c r="V4" s="3210" t="s">
        <v>2637</v>
      </c>
      <c r="W4" s="3210"/>
      <c r="X4" s="1813"/>
      <c r="Y4" s="3250" t="s">
        <v>2639</v>
      </c>
      <c r="Z4" s="3251"/>
      <c r="AA4" s="3249" t="s">
        <v>2635</v>
      </c>
      <c r="AB4" s="3210" t="s">
        <v>2636</v>
      </c>
      <c r="AC4" s="3249" t="s">
        <v>2637</v>
      </c>
    </row>
    <row r="5" spans="1:29" ht="15">
      <c r="A5" s="404"/>
      <c r="B5" s="405"/>
      <c r="C5" s="3189" t="s">
        <v>2530</v>
      </c>
      <c r="D5" s="3186"/>
      <c r="E5" s="3252" t="s">
        <v>2531</v>
      </c>
      <c r="F5" s="3184"/>
      <c r="G5" s="3189" t="s">
        <v>2532</v>
      </c>
      <c r="H5" s="3186"/>
      <c r="I5" s="3189" t="s">
        <v>2533</v>
      </c>
      <c r="J5" s="3186"/>
      <c r="K5" s="610"/>
      <c r="L5" s="1131"/>
      <c r="M5" s="1132"/>
      <c r="N5" s="1132"/>
      <c r="O5" s="1132"/>
      <c r="P5" s="3255"/>
      <c r="Q5" s="3204"/>
      <c r="R5" s="3181"/>
      <c r="S5" s="3182"/>
      <c r="T5" s="3181"/>
      <c r="U5" s="3182"/>
      <c r="V5" s="3210"/>
      <c r="W5" s="3210"/>
      <c r="X5" s="1813"/>
      <c r="Y5" s="3181"/>
      <c r="Z5" s="3182"/>
      <c r="AA5" s="3175"/>
      <c r="AB5" s="3210"/>
      <c r="AC5" s="3175"/>
    </row>
    <row r="6" spans="1:29" ht="15.75" thickBot="1">
      <c r="A6" s="406"/>
      <c r="B6" s="407"/>
      <c r="C6" s="3192" t="s">
        <v>2534</v>
      </c>
      <c r="D6" s="3188"/>
      <c r="E6" s="3190" t="s">
        <v>2534</v>
      </c>
      <c r="F6" s="3191"/>
      <c r="G6" s="3192" t="s">
        <v>2534</v>
      </c>
      <c r="H6" s="3188"/>
      <c r="I6" s="3192" t="s">
        <v>2534</v>
      </c>
      <c r="J6" s="3188"/>
      <c r="K6" s="610" t="s">
        <v>2535</v>
      </c>
      <c r="L6" s="1131"/>
      <c r="M6" s="1132"/>
      <c r="N6" s="1132"/>
      <c r="O6" s="1132"/>
      <c r="P6" s="3256"/>
      <c r="Q6" s="3206"/>
      <c r="R6" s="3181"/>
      <c r="S6" s="3182"/>
      <c r="T6" s="3207"/>
      <c r="U6" s="3208"/>
      <c r="V6" s="3210"/>
      <c r="W6" s="3210"/>
      <c r="X6" s="1813"/>
      <c r="Y6" s="3207"/>
      <c r="Z6" s="3208"/>
      <c r="AA6" s="3176"/>
      <c r="AB6" s="3210"/>
      <c r="AC6" s="3176"/>
    </row>
    <row r="7" spans="1:29" s="117" customFormat="1" ht="15.75" thickBot="1">
      <c r="A7" s="408" t="s">
        <v>2536</v>
      </c>
      <c r="B7" s="409"/>
      <c r="C7" s="410">
        <f>'数据-取费表'!B2</f>
        <v>43293</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77" t="s">
        <v>2537</v>
      </c>
      <c r="Q7" s="3212"/>
      <c r="R7" s="770" t="s">
        <v>17</v>
      </c>
      <c r="S7" s="771">
        <f t="shared" ref="S7:S15" si="0">F7</f>
        <v>0</v>
      </c>
      <c r="T7" s="770" t="s">
        <v>17</v>
      </c>
      <c r="U7" s="771">
        <f t="shared" ref="U7:U15" si="1">H7</f>
        <v>0</v>
      </c>
      <c r="V7" s="770" t="s">
        <v>17</v>
      </c>
      <c r="W7" s="771">
        <f t="shared" ref="W7:W15" si="2">J7</f>
        <v>0</v>
      </c>
      <c r="X7" s="772"/>
      <c r="Y7" s="3177" t="s">
        <v>2537</v>
      </c>
      <c r="Z7" s="3178"/>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77" t="s">
        <v>2540</v>
      </c>
      <c r="Q8" s="3178"/>
      <c r="R8" s="770" t="s">
        <v>17</v>
      </c>
      <c r="S8" s="771">
        <f t="shared" si="0"/>
        <v>0</v>
      </c>
      <c r="T8" s="770" t="s">
        <v>17</v>
      </c>
      <c r="U8" s="771">
        <f t="shared" si="1"/>
        <v>0</v>
      </c>
      <c r="V8" s="770" t="s">
        <v>17</v>
      </c>
      <c r="W8" s="771">
        <f t="shared" si="2"/>
        <v>0</v>
      </c>
      <c r="X8" s="772"/>
      <c r="Y8" s="3177" t="s">
        <v>2540</v>
      </c>
      <c r="Z8" s="3178"/>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93" t="s">
        <v>2543</v>
      </c>
      <c r="Q9" s="1795" t="str">
        <f t="shared" ref="Q9:Q15" si="6">B9</f>
        <v>用途</v>
      </c>
      <c r="R9" s="770" t="s">
        <v>17</v>
      </c>
      <c r="S9" s="771">
        <f t="shared" si="0"/>
        <v>100</v>
      </c>
      <c r="T9" s="770" t="s">
        <v>17</v>
      </c>
      <c r="U9" s="771">
        <f t="shared" si="1"/>
        <v>100</v>
      </c>
      <c r="V9" s="770" t="s">
        <v>17</v>
      </c>
      <c r="W9" s="771">
        <f t="shared" si="2"/>
        <v>100</v>
      </c>
      <c r="X9" s="772"/>
      <c r="Y9" s="304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93"/>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93"/>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93"/>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93"/>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93"/>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71.25">
      <c r="A15" s="440" t="s">
        <v>2547</v>
      </c>
      <c r="B15" s="69" t="s">
        <v>2641</v>
      </c>
      <c r="C15" s="259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13" t="s">
        <v>2548</v>
      </c>
      <c r="Q15" s="1810" t="str">
        <f t="shared" si="6"/>
        <v>商业繁华度</v>
      </c>
      <c r="R15" s="774" t="s">
        <v>17</v>
      </c>
      <c r="S15" s="775">
        <f t="shared" si="0"/>
        <v>100</v>
      </c>
      <c r="T15" s="774" t="s">
        <v>17</v>
      </c>
      <c r="U15" s="775">
        <f t="shared" si="1"/>
        <v>100</v>
      </c>
      <c r="V15" s="774" t="s">
        <v>17</v>
      </c>
      <c r="W15" s="775">
        <f t="shared" si="2"/>
        <v>100</v>
      </c>
      <c r="X15" s="1813"/>
      <c r="Y15" s="3215"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14"/>
      <c r="Q16" s="1810"/>
      <c r="R16" s="774"/>
      <c r="S16" s="775"/>
      <c r="T16" s="774"/>
      <c r="U16" s="775"/>
      <c r="V16" s="774"/>
      <c r="W16" s="775"/>
      <c r="X16" s="1813"/>
      <c r="Y16" s="3216"/>
      <c r="Z16" s="1814"/>
      <c r="AA16" s="1811">
        <v>1</v>
      </c>
      <c r="AB16" s="1811">
        <v>1</v>
      </c>
      <c r="AC16" s="1811">
        <v>1</v>
      </c>
    </row>
    <row r="17" spans="1:29" ht="185.25">
      <c r="A17" s="428"/>
      <c r="B17" s="451" t="s">
        <v>2089</v>
      </c>
      <c r="C17" s="259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14"/>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456"/>
      <c r="C18" s="2597"/>
      <c r="D18" s="450"/>
      <c r="E18" s="2599"/>
      <c r="F18" s="453"/>
      <c r="G18" s="2598"/>
      <c r="H18" s="448"/>
      <c r="I18" s="2599"/>
      <c r="J18" s="448"/>
      <c r="K18" s="615"/>
      <c r="L18" s="1141"/>
      <c r="M18" s="1132"/>
      <c r="N18" s="1132"/>
      <c r="O18" s="1132"/>
      <c r="P18" s="3214"/>
      <c r="Q18" s="1810"/>
      <c r="R18" s="774"/>
      <c r="S18" s="775"/>
      <c r="T18" s="774"/>
      <c r="U18" s="775"/>
      <c r="V18" s="774"/>
      <c r="W18" s="775"/>
      <c r="X18" s="1813"/>
      <c r="Y18" s="3216"/>
      <c r="Z18" s="1814"/>
      <c r="AA18" s="1811">
        <v>1</v>
      </c>
      <c r="AB18" s="1811">
        <v>1</v>
      </c>
      <c r="AC18" s="1811">
        <v>1</v>
      </c>
    </row>
    <row r="19" spans="1:29" ht="213.75">
      <c r="A19" s="428"/>
      <c r="B19" s="451" t="s">
        <v>2642</v>
      </c>
      <c r="C19" s="259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14"/>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594"/>
      <c r="F20" s="449"/>
      <c r="G20" s="2593"/>
      <c r="H20" s="448"/>
      <c r="I20" s="2594"/>
      <c r="J20" s="448"/>
      <c r="K20" s="615"/>
      <c r="L20" s="1141"/>
      <c r="M20" s="1132"/>
      <c r="N20" s="1132"/>
      <c r="O20" s="1132"/>
      <c r="P20" s="3214"/>
      <c r="Q20" s="1810"/>
      <c r="R20" s="774"/>
      <c r="S20" s="775"/>
      <c r="T20" s="774"/>
      <c r="U20" s="775"/>
      <c r="V20" s="774"/>
      <c r="W20" s="775"/>
      <c r="X20" s="1813"/>
      <c r="Y20" s="3216"/>
      <c r="Z20" s="1814"/>
      <c r="AA20" s="1811">
        <v>1</v>
      </c>
      <c r="AB20" s="1811">
        <v>1</v>
      </c>
      <c r="AC20" s="1811">
        <v>1</v>
      </c>
    </row>
    <row r="21" spans="1:29" ht="42.75">
      <c r="A21" s="428"/>
      <c r="B21" s="1385" t="s">
        <v>2643</v>
      </c>
      <c r="C21" s="2596"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14"/>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9"/>
      <c r="G22" s="447"/>
      <c r="H22" s="448"/>
      <c r="I22" s="447"/>
      <c r="J22" s="448"/>
      <c r="K22" s="1384"/>
      <c r="L22" s="1141"/>
      <c r="M22" s="1132"/>
      <c r="N22" s="1132"/>
      <c r="O22" s="1132"/>
      <c r="P22" s="3214"/>
      <c r="Q22" s="1810"/>
      <c r="R22" s="774"/>
      <c r="S22" s="775"/>
      <c r="T22" s="774"/>
      <c r="U22" s="775"/>
      <c r="V22" s="774"/>
      <c r="W22" s="775"/>
      <c r="X22" s="1813"/>
      <c r="Y22" s="3216"/>
      <c r="Z22" s="1814"/>
      <c r="AA22" s="1811">
        <v>1</v>
      </c>
      <c r="AB22" s="1811">
        <v>1</v>
      </c>
      <c r="AC22" s="1811">
        <v>1</v>
      </c>
    </row>
    <row r="23" spans="1:29" ht="85.5">
      <c r="A23" s="428"/>
      <c r="B23" s="451" t="s">
        <v>2094</v>
      </c>
      <c r="C23" s="2653" t="str">
        <f>估价对象房地状况!C9</f>
        <v>估价对象周边人文环境一般；有御康公园，自然环境一般；综合评价环境状况一般。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14"/>
      <c r="Q23" s="1810" t="str">
        <f>B23</f>
        <v>自然及人文环境</v>
      </c>
      <c r="R23" s="774" t="s">
        <v>17</v>
      </c>
      <c r="S23" s="775">
        <f>F23</f>
        <v>100</v>
      </c>
      <c r="T23" s="774" t="s">
        <v>17</v>
      </c>
      <c r="U23" s="775">
        <f>H23</f>
        <v>100</v>
      </c>
      <c r="V23" s="774" t="s">
        <v>17</v>
      </c>
      <c r="W23" s="775">
        <f>J23</f>
        <v>100</v>
      </c>
      <c r="X23" s="1813"/>
      <c r="Y23" s="3216"/>
      <c r="Z23" s="1814" t="str">
        <f>Q23</f>
        <v>自然及人文环境</v>
      </c>
      <c r="AA23" s="1811">
        <f t="shared" si="3"/>
        <v>1</v>
      </c>
      <c r="AB23" s="1811">
        <f t="shared" si="4"/>
        <v>1</v>
      </c>
      <c r="AC23" s="1811">
        <f t="shared" si="5"/>
        <v>1</v>
      </c>
    </row>
    <row r="24" spans="1:29" ht="15">
      <c r="A24" s="428"/>
      <c r="B24" s="456"/>
      <c r="C24" s="447"/>
      <c r="D24" s="448"/>
      <c r="E24" s="2594"/>
      <c r="F24" s="449"/>
      <c r="G24" s="2593"/>
      <c r="H24" s="448"/>
      <c r="I24" s="2594"/>
      <c r="J24" s="448"/>
      <c r="K24" s="615"/>
      <c r="L24" s="1141"/>
      <c r="M24" s="1132"/>
      <c r="N24" s="1132"/>
      <c r="O24" s="1132"/>
      <c r="P24" s="3214"/>
      <c r="Q24" s="1810"/>
      <c r="R24" s="774"/>
      <c r="S24" s="775"/>
      <c r="T24" s="774"/>
      <c r="U24" s="775"/>
      <c r="V24" s="774"/>
      <c r="W24" s="775"/>
      <c r="X24" s="1813"/>
      <c r="Y24" s="3216"/>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14"/>
      <c r="Q25" s="1810" t="str">
        <f t="shared" ref="Q25:Q46" si="11">B25</f>
        <v>临街状况</v>
      </c>
      <c r="R25" s="774" t="s">
        <v>17</v>
      </c>
      <c r="S25" s="775">
        <f>F25</f>
        <v>100</v>
      </c>
      <c r="T25" s="774" t="s">
        <v>17</v>
      </c>
      <c r="U25" s="775">
        <f>H25</f>
        <v>100</v>
      </c>
      <c r="V25" s="774" t="s">
        <v>17</v>
      </c>
      <c r="W25" s="775">
        <f>J25</f>
        <v>100</v>
      </c>
      <c r="X25" s="1813"/>
      <c r="Y25" s="3216"/>
      <c r="Z25" s="1814" t="str">
        <f>Q25</f>
        <v>临街状况</v>
      </c>
      <c r="AA25" s="1811">
        <f t="shared" si="3"/>
        <v>1</v>
      </c>
      <c r="AB25" s="1811">
        <f t="shared" si="4"/>
        <v>1</v>
      </c>
      <c r="AC25" s="1811">
        <f t="shared" si="5"/>
        <v>1</v>
      </c>
    </row>
    <row r="26" spans="1:29" ht="15">
      <c r="A26" s="428"/>
      <c r="B26" s="1387" t="s">
        <v>2645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14"/>
      <c r="Q26" s="1810" t="str">
        <f t="shared" si="11"/>
        <v>平面位置/可视性</v>
      </c>
      <c r="R26" s="774" t="s">
        <v>17</v>
      </c>
      <c r="S26" s="775">
        <f>F26</f>
        <v>100</v>
      </c>
      <c r="T26" s="774" t="s">
        <v>17</v>
      </c>
      <c r="U26" s="775">
        <f>H26</f>
        <v>100</v>
      </c>
      <c r="V26" s="774" t="s">
        <v>17</v>
      </c>
      <c r="W26" s="775">
        <f>J26</f>
        <v>100</v>
      </c>
      <c r="X26" s="1813"/>
      <c r="Y26" s="3216"/>
      <c r="Z26" s="1814" t="str">
        <f>Q26</f>
        <v>平面位置/可视性</v>
      </c>
      <c r="AA26" s="1811">
        <f t="shared" si="3"/>
        <v>1</v>
      </c>
      <c r="AB26" s="1811">
        <f t="shared" si="4"/>
        <v>1</v>
      </c>
      <c r="AC26" s="1811">
        <f t="shared" si="5"/>
        <v>1</v>
      </c>
    </row>
    <row r="27" spans="1:29" s="117" customFormat="1" ht="15">
      <c r="A27" s="431"/>
      <c r="B27" s="451" t="s">
        <v>2646</v>
      </c>
      <c r="C27" s="2654"/>
      <c r="D27" s="462">
        <v>100</v>
      </c>
      <c r="E27" s="2654"/>
      <c r="F27" s="464">
        <f>SUMIF(90:90,E27,91:91)-SUMIF(90:90,C27,91:91)+100</f>
        <v>100</v>
      </c>
      <c r="G27" s="2654"/>
      <c r="H27" s="462">
        <f>SUMIF(90:90,G27,91:91)-SUMIF(90:90,C27,91:91)+100</f>
        <v>100</v>
      </c>
      <c r="I27" s="2654"/>
      <c r="J27" s="462">
        <f>SUMIF(90:90,I27,91:91)-SUMIF(90:90,C27,91:91)+100</f>
        <v>100</v>
      </c>
      <c r="K27" s="612"/>
      <c r="L27" s="1133"/>
      <c r="M27" s="1134"/>
      <c r="N27" s="1134"/>
      <c r="O27" s="1134"/>
      <c r="P27" s="3214"/>
      <c r="Q27" s="1795" t="str">
        <f t="shared" si="11"/>
        <v>人流量</v>
      </c>
      <c r="R27" s="770" t="s">
        <v>17</v>
      </c>
      <c r="S27" s="771">
        <f>F27</f>
        <v>100</v>
      </c>
      <c r="T27" s="770" t="s">
        <v>17</v>
      </c>
      <c r="U27" s="771">
        <f>H27</f>
        <v>100</v>
      </c>
      <c r="V27" s="770" t="s">
        <v>17</v>
      </c>
      <c r="W27" s="771">
        <f>J27</f>
        <v>100</v>
      </c>
      <c r="X27" s="772"/>
      <c r="Y27" s="3216"/>
      <c r="Z27" s="55"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1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6"/>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4"/>
      <c r="Q29" s="1810">
        <f t="shared" si="11"/>
        <v>111</v>
      </c>
      <c r="R29" s="774" t="s">
        <v>17</v>
      </c>
      <c r="S29" s="775">
        <f t="shared" si="12"/>
        <v>100</v>
      </c>
      <c r="T29" s="774" t="s">
        <v>17</v>
      </c>
      <c r="U29" s="775">
        <f t="shared" si="13"/>
        <v>100</v>
      </c>
      <c r="V29" s="774" t="s">
        <v>17</v>
      </c>
      <c r="W29" s="775">
        <f t="shared" si="14"/>
        <v>100</v>
      </c>
      <c r="X29" s="1813"/>
      <c r="Y29" s="3216"/>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4"/>
      <c r="Q30" s="1810">
        <f t="shared" si="11"/>
        <v>111</v>
      </c>
      <c r="R30" s="774" t="s">
        <v>17</v>
      </c>
      <c r="S30" s="775">
        <f t="shared" si="12"/>
        <v>100</v>
      </c>
      <c r="T30" s="774" t="s">
        <v>17</v>
      </c>
      <c r="U30" s="775">
        <f t="shared" si="13"/>
        <v>100</v>
      </c>
      <c r="V30" s="774" t="s">
        <v>17</v>
      </c>
      <c r="W30" s="775">
        <f t="shared" si="14"/>
        <v>100</v>
      </c>
      <c r="X30" s="1813"/>
      <c r="Y30" s="3216"/>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4"/>
      <c r="Q31" s="1810">
        <f t="shared" si="11"/>
        <v>111</v>
      </c>
      <c r="R31" s="774" t="s">
        <v>17</v>
      </c>
      <c r="S31" s="775">
        <f t="shared" si="12"/>
        <v>100</v>
      </c>
      <c r="T31" s="774" t="s">
        <v>17</v>
      </c>
      <c r="U31" s="775">
        <f t="shared" si="13"/>
        <v>100</v>
      </c>
      <c r="V31" s="774" t="s">
        <v>17</v>
      </c>
      <c r="W31" s="775">
        <f t="shared" si="14"/>
        <v>100</v>
      </c>
      <c r="X31" s="1813"/>
      <c r="Y31" s="3216"/>
      <c r="Z31" s="1814">
        <f t="shared" si="15"/>
        <v>111</v>
      </c>
      <c r="AA31" s="1811">
        <f t="shared" si="3"/>
        <v>1</v>
      </c>
      <c r="AB31" s="1811">
        <f t="shared" si="4"/>
        <v>1</v>
      </c>
      <c r="AC31" s="1811">
        <f t="shared" si="5"/>
        <v>1</v>
      </c>
    </row>
    <row r="32" spans="1:29" ht="15">
      <c r="A32" s="440" t="s">
        <v>2551</v>
      </c>
      <c r="B32" s="71" t="s">
        <v>2648</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41"/>
      <c r="M32" s="1132"/>
      <c r="N32" s="1132"/>
      <c r="O32" s="1132"/>
      <c r="P32" s="3217" t="s">
        <v>2553</v>
      </c>
      <c r="Q32" s="1810" t="str">
        <f t="shared" si="11"/>
        <v>商业类型</v>
      </c>
      <c r="R32" s="774" t="s">
        <v>17</v>
      </c>
      <c r="S32" s="775">
        <f t="shared" si="12"/>
        <v>100</v>
      </c>
      <c r="T32" s="774" t="s">
        <v>17</v>
      </c>
      <c r="U32" s="775">
        <f t="shared" si="13"/>
        <v>100</v>
      </c>
      <c r="V32" s="774" t="s">
        <v>17</v>
      </c>
      <c r="W32" s="775">
        <f t="shared" si="14"/>
        <v>100</v>
      </c>
      <c r="X32" s="1813"/>
      <c r="Y32" s="3220" t="s">
        <v>2553</v>
      </c>
      <c r="Z32" s="1814" t="str">
        <f t="shared" si="15"/>
        <v>商业类型</v>
      </c>
      <c r="AA32" s="1811">
        <f t="shared" si="3"/>
        <v>1</v>
      </c>
      <c r="AB32" s="1811">
        <f t="shared" si="4"/>
        <v>1</v>
      </c>
      <c r="AC32" s="1811">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1" t="e">
        <f t="shared" si="3"/>
        <v>#N/A</v>
      </c>
      <c r="AB33" s="1811" t="e">
        <f t="shared" si="4"/>
        <v>#N/A</v>
      </c>
      <c r="AC33" s="1811" t="e">
        <f t="shared" si="5"/>
        <v>#N/A</v>
      </c>
    </row>
    <row r="34" spans="1:29" ht="15">
      <c r="A34" s="472"/>
      <c r="B34" s="422" t="s">
        <v>2555</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41"/>
      <c r="M34" s="1132"/>
      <c r="N34" s="1132"/>
      <c r="O34" s="1132"/>
      <c r="P34" s="3218"/>
      <c r="Q34" s="1810" t="str">
        <f t="shared" si="11"/>
        <v>建筑结构</v>
      </c>
      <c r="R34" s="774" t="s">
        <v>17</v>
      </c>
      <c r="S34" s="775">
        <f t="shared" si="12"/>
        <v>100</v>
      </c>
      <c r="T34" s="774" t="s">
        <v>17</v>
      </c>
      <c r="U34" s="775">
        <f t="shared" si="13"/>
        <v>100</v>
      </c>
      <c r="V34" s="774" t="s">
        <v>17</v>
      </c>
      <c r="W34" s="775">
        <f t="shared" si="14"/>
        <v>100</v>
      </c>
      <c r="X34" s="1813"/>
      <c r="Y34" s="3220"/>
      <c r="Z34" s="1814" t="str">
        <f t="shared" si="15"/>
        <v>建筑结构</v>
      </c>
      <c r="AA34" s="1811">
        <f t="shared" si="3"/>
        <v>1</v>
      </c>
      <c r="AB34" s="1811">
        <f t="shared" si="4"/>
        <v>1</v>
      </c>
      <c r="AC34" s="1811">
        <f t="shared" si="5"/>
        <v>1</v>
      </c>
    </row>
    <row r="35" spans="1:29" ht="15">
      <c r="A35" s="472"/>
      <c r="B35" s="422" t="s">
        <v>2649</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41"/>
      <c r="M35" s="1132"/>
      <c r="N35" s="1132"/>
      <c r="O35" s="1132"/>
      <c r="P35" s="3218"/>
      <c r="Q35" s="1810" t="str">
        <f t="shared" si="11"/>
        <v>公共部分装修</v>
      </c>
      <c r="R35" s="774" t="s">
        <v>17</v>
      </c>
      <c r="S35" s="775">
        <f t="shared" si="12"/>
        <v>100</v>
      </c>
      <c r="T35" s="774" t="s">
        <v>17</v>
      </c>
      <c r="U35" s="775">
        <f t="shared" si="13"/>
        <v>100</v>
      </c>
      <c r="V35" s="774" t="s">
        <v>17</v>
      </c>
      <c r="W35" s="775">
        <f t="shared" si="14"/>
        <v>100</v>
      </c>
      <c r="X35" s="1813"/>
      <c r="Y35" s="3220"/>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18"/>
      <c r="Q36" s="1810" t="str">
        <f t="shared" si="11"/>
        <v>成新度</v>
      </c>
      <c r="R36" s="774" t="s">
        <v>17</v>
      </c>
      <c r="S36" s="775" t="e">
        <f t="shared" si="12"/>
        <v>#N/A</v>
      </c>
      <c r="T36" s="774" t="s">
        <v>17</v>
      </c>
      <c r="U36" s="775" t="e">
        <f t="shared" si="13"/>
        <v>#N/A</v>
      </c>
      <c r="V36" s="774" t="s">
        <v>17</v>
      </c>
      <c r="W36" s="775" t="e">
        <f t="shared" si="14"/>
        <v>#N/A</v>
      </c>
      <c r="X36" s="1813"/>
      <c r="Y36" s="3220"/>
      <c r="Z36" s="1814" t="str">
        <f t="shared" si="15"/>
        <v>成新度</v>
      </c>
      <c r="AA36" s="1811" t="e">
        <f t="shared" si="3"/>
        <v>#N/A</v>
      </c>
      <c r="AB36" s="1811" t="e">
        <f t="shared" si="4"/>
        <v>#N/A</v>
      </c>
      <c r="AC36" s="1811" t="e">
        <f t="shared" si="5"/>
        <v>#N/A</v>
      </c>
    </row>
    <row r="37" spans="1:29" s="117" customFormat="1" ht="15">
      <c r="A37" s="473"/>
      <c r="B37" s="422" t="s">
        <v>2651</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33"/>
      <c r="M37" s="1134"/>
      <c r="N37" s="1134"/>
      <c r="O37" s="1134"/>
      <c r="P37" s="3218"/>
      <c r="Q37" s="1795"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2652</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41"/>
      <c r="M38" s="1132"/>
      <c r="N38" s="1132"/>
      <c r="O38" s="1132"/>
      <c r="P38" s="3218" t="s">
        <v>2553</v>
      </c>
      <c r="Q38" s="1810" t="str">
        <f t="shared" si="11"/>
        <v>业态</v>
      </c>
      <c r="R38" s="774" t="s">
        <v>17</v>
      </c>
      <c r="S38" s="775">
        <f t="shared" si="12"/>
        <v>100</v>
      </c>
      <c r="T38" s="774" t="s">
        <v>17</v>
      </c>
      <c r="U38" s="775">
        <f t="shared" si="13"/>
        <v>100</v>
      </c>
      <c r="V38" s="774" t="s">
        <v>17</v>
      </c>
      <c r="W38" s="775">
        <f t="shared" si="14"/>
        <v>100</v>
      </c>
      <c r="X38" s="1813"/>
      <c r="Y38" s="3220" t="s">
        <v>2553</v>
      </c>
      <c r="Z38" s="1814" t="str">
        <f t="shared" si="15"/>
        <v>业态</v>
      </c>
      <c r="AA38" s="1811">
        <f t="shared" si="3"/>
        <v>1</v>
      </c>
      <c r="AB38" s="1811">
        <f t="shared" si="4"/>
        <v>1</v>
      </c>
      <c r="AC38" s="1811">
        <f t="shared" si="5"/>
        <v>1</v>
      </c>
    </row>
    <row r="39" spans="1:29" ht="15">
      <c r="A39" s="472"/>
      <c r="B39" s="422" t="s">
        <v>2653</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41"/>
      <c r="M39" s="1132"/>
      <c r="N39" s="1132"/>
      <c r="O39" s="1132"/>
      <c r="P39" s="3218"/>
      <c r="Q39" s="1810" t="str">
        <f t="shared" si="11"/>
        <v>层高</v>
      </c>
      <c r="R39" s="774" t="s">
        <v>17</v>
      </c>
      <c r="S39" s="775">
        <f t="shared" si="12"/>
        <v>100</v>
      </c>
      <c r="T39" s="774" t="s">
        <v>17</v>
      </c>
      <c r="U39" s="775">
        <f t="shared" si="13"/>
        <v>100</v>
      </c>
      <c r="V39" s="774" t="s">
        <v>17</v>
      </c>
      <c r="W39" s="775">
        <f t="shared" si="14"/>
        <v>100</v>
      </c>
      <c r="X39" s="1813"/>
      <c r="Y39" s="3220"/>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8"/>
      <c r="Q40" s="1810" t="str">
        <f t="shared" si="11"/>
        <v>单套建筑面积</v>
      </c>
      <c r="R40" s="774" t="s">
        <v>17</v>
      </c>
      <c r="S40" s="775">
        <f t="shared" si="12"/>
        <v>100</v>
      </c>
      <c r="T40" s="774" t="s">
        <v>17</v>
      </c>
      <c r="U40" s="775">
        <f t="shared" si="13"/>
        <v>100</v>
      </c>
      <c r="V40" s="774" t="s">
        <v>17</v>
      </c>
      <c r="W40" s="775">
        <f t="shared" si="14"/>
        <v>100</v>
      </c>
      <c r="X40" s="1813"/>
      <c r="Y40" s="3220"/>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1">
        <f t="shared" si="3"/>
        <v>1</v>
      </c>
      <c r="AB41" s="1811">
        <f t="shared" si="4"/>
        <v>1</v>
      </c>
      <c r="AC41" s="1811">
        <f t="shared" si="5"/>
        <v>1</v>
      </c>
    </row>
    <row r="42" spans="1:29" ht="15">
      <c r="A42" s="472"/>
      <c r="B42" s="422" t="s">
        <v>2656</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41"/>
      <c r="M42" s="1132"/>
      <c r="N42" s="1132"/>
      <c r="O42" s="1132"/>
      <c r="P42" s="3218"/>
      <c r="Q42" s="1810" t="str">
        <f t="shared" si="11"/>
        <v>内部装修</v>
      </c>
      <c r="R42" s="774" t="s">
        <v>17</v>
      </c>
      <c r="S42" s="775">
        <f t="shared" si="12"/>
        <v>100</v>
      </c>
      <c r="T42" s="774" t="s">
        <v>17</v>
      </c>
      <c r="U42" s="775">
        <f t="shared" si="13"/>
        <v>100</v>
      </c>
      <c r="V42" s="774" t="s">
        <v>17</v>
      </c>
      <c r="W42" s="775">
        <f t="shared" si="14"/>
        <v>100</v>
      </c>
      <c r="X42" s="1813"/>
      <c r="Y42" s="3220"/>
      <c r="Z42" s="1814" t="str">
        <f t="shared" si="15"/>
        <v>内部装修</v>
      </c>
      <c r="AA42" s="1811">
        <f t="shared" si="3"/>
        <v>1</v>
      </c>
      <c r="AB42" s="1811">
        <f t="shared" si="4"/>
        <v>1</v>
      </c>
      <c r="AC42" s="1811">
        <f t="shared" si="5"/>
        <v>1</v>
      </c>
    </row>
    <row r="43" spans="1:29" ht="15">
      <c r="A43" s="472"/>
      <c r="B43" s="422" t="s">
        <v>2564</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41"/>
      <c r="M43" s="1132"/>
      <c r="N43" s="1132"/>
      <c r="O43" s="1132"/>
      <c r="P43" s="3218"/>
      <c r="Q43" s="1810" t="str">
        <f t="shared" si="11"/>
        <v>内部装修维护情况</v>
      </c>
      <c r="R43" s="774" t="s">
        <v>17</v>
      </c>
      <c r="S43" s="775">
        <f t="shared" si="12"/>
        <v>100</v>
      </c>
      <c r="T43" s="774" t="s">
        <v>17</v>
      </c>
      <c r="U43" s="775">
        <f t="shared" si="13"/>
        <v>100</v>
      </c>
      <c r="V43" s="774" t="s">
        <v>17</v>
      </c>
      <c r="W43" s="775">
        <f t="shared" si="14"/>
        <v>100</v>
      </c>
      <c r="X43" s="1813"/>
      <c r="Y43" s="3220"/>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18"/>
      <c r="Q44" s="1795">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8"/>
      <c r="Q45" s="1810">
        <f t="shared" si="11"/>
        <v>111</v>
      </c>
      <c r="R45" s="774" t="s">
        <v>17</v>
      </c>
      <c r="S45" s="775">
        <f t="shared" si="12"/>
        <v>100</v>
      </c>
      <c r="T45" s="774" t="s">
        <v>17</v>
      </c>
      <c r="U45" s="775">
        <f t="shared" si="13"/>
        <v>100</v>
      </c>
      <c r="V45" s="774" t="s">
        <v>17</v>
      </c>
      <c r="W45" s="775">
        <f t="shared" si="14"/>
        <v>100</v>
      </c>
      <c r="X45" s="1813"/>
      <c r="Y45" s="3220"/>
      <c r="Z45" s="1814">
        <f t="shared" si="15"/>
        <v>111</v>
      </c>
      <c r="AA45" s="1811">
        <f t="shared" si="3"/>
        <v>1</v>
      </c>
      <c r="AB45" s="1811">
        <f t="shared" si="4"/>
        <v>1</v>
      </c>
      <c r="AC45" s="1811">
        <f t="shared" si="5"/>
        <v>1</v>
      </c>
    </row>
    <row r="46" spans="1:29" ht="15.75"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9"/>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1811">
        <f t="shared" si="5"/>
        <v>1</v>
      </c>
    </row>
    <row r="47" spans="1:29" ht="15">
      <c r="A47" s="479" t="s">
        <v>2565</v>
      </c>
      <c r="B47" s="480"/>
      <c r="C47" s="1408" t="s">
        <v>1</v>
      </c>
      <c r="D47" s="1409"/>
      <c r="E47" s="1410"/>
      <c r="F47" s="1411"/>
      <c r="G47" s="1412"/>
      <c r="H47" s="1413"/>
      <c r="I47" s="1410"/>
      <c r="J47" s="1413"/>
      <c r="K47" s="783"/>
      <c r="L47" s="1144"/>
      <c r="M47" s="1145"/>
      <c r="N47" s="1132"/>
      <c r="O47" s="1145"/>
      <c r="P47" s="3222" t="str">
        <f>A47</f>
        <v>成交单价（元/平方米）</v>
      </c>
      <c r="Q47" s="3222"/>
      <c r="R47" s="3210">
        <f>E47</f>
        <v>0</v>
      </c>
      <c r="S47" s="3210"/>
      <c r="T47" s="3210">
        <f>G47</f>
        <v>0</v>
      </c>
      <c r="U47" s="3210"/>
      <c r="V47" s="3210">
        <f>I47</f>
        <v>0</v>
      </c>
      <c r="W47" s="3210"/>
      <c r="X47" s="759"/>
      <c r="Y47" s="781"/>
      <c r="Z47" s="759"/>
      <c r="AA47" s="759"/>
      <c r="AB47" s="759"/>
      <c r="AC47" s="759"/>
    </row>
    <row r="48" spans="1:29" ht="15.75" thickBot="1">
      <c r="A48" s="486" t="s">
        <v>2657</v>
      </c>
      <c r="B48" s="487"/>
      <c r="C48" s="1414" t="e">
        <f>R49</f>
        <v>#DIV/0!</v>
      </c>
      <c r="D48" s="1415"/>
      <c r="E48" s="1416" t="e">
        <f>R48</f>
        <v>#DIV/0!</v>
      </c>
      <c r="F48" s="1416"/>
      <c r="G48" s="1414" t="e">
        <f>T48</f>
        <v>#DIV/0!</v>
      </c>
      <c r="H48" s="1415"/>
      <c r="I48" s="1416" t="e">
        <f>V48</f>
        <v>#DIV/0!</v>
      </c>
      <c r="J48" s="1415"/>
      <c r="K48" s="784"/>
      <c r="L48" s="1144"/>
      <c r="M48" s="1145"/>
      <c r="N48" s="1132"/>
      <c r="O48" s="1145"/>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2658</v>
      </c>
      <c r="B49" s="493"/>
      <c r="C49" s="1418" t="e">
        <f>R49</f>
        <v>#DIV/0!</v>
      </c>
      <c r="D49" s="1418"/>
      <c r="E49" s="1418"/>
      <c r="F49" s="1418"/>
      <c r="G49" s="1418"/>
      <c r="H49" s="1418"/>
      <c r="I49" s="1418"/>
      <c r="J49" s="1418"/>
      <c r="K49" s="785"/>
      <c r="L49" s="1144"/>
      <c r="M49" s="1145"/>
      <c r="N49" s="1132"/>
      <c r="O49" s="1145"/>
      <c r="P49" s="3257" t="str">
        <f>A49</f>
        <v>估价对象XX用房的比较价值（楼面单价，元/平方米）</v>
      </c>
      <c r="Q49" s="3258"/>
      <c r="R49" s="3259" t="e">
        <f>IF(F1="售价",ROUND(AVERAGE(R48:V48),0),ROUND(AVERAGE(R48:V48),1))</f>
        <v>#DIV/0!</v>
      </c>
      <c r="S49" s="3259"/>
      <c r="T49" s="3259"/>
      <c r="U49" s="3259"/>
      <c r="V49" s="3259"/>
      <c r="W49" s="3259"/>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55"/>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55"/>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2"/>
      <c r="M57" s="1160"/>
      <c r="N57" s="1160"/>
      <c r="O57" s="1160"/>
      <c r="P57" s="2656"/>
      <c r="Q57" s="2657"/>
      <c r="R57" s="759"/>
      <c r="S57" s="759"/>
      <c r="T57" s="759"/>
      <c r="U57" s="759"/>
      <c r="V57" s="759"/>
      <c r="W57" s="759"/>
      <c r="X57" s="759"/>
      <c r="Y57" s="759"/>
      <c r="Z57" s="759"/>
      <c r="AA57" s="759"/>
      <c r="AB57" s="759"/>
      <c r="AC57" s="759"/>
    </row>
    <row r="58" spans="1:29" s="508" customFormat="1" ht="15">
      <c r="A58" s="505" t="s">
        <v>2536</v>
      </c>
      <c r="B58" s="506"/>
      <c r="C58" s="1574" t="str">
        <f>YEAR(C7)&amp;"-"&amp;MONTH(C7)</f>
        <v>2018-7</v>
      </c>
      <c r="D58" s="1575">
        <f>EDATE(C58,-1)</f>
        <v>43252</v>
      </c>
      <c r="E58" s="1575">
        <f t="shared" ref="E58:N58" si="16">EDATE(D58,-1)</f>
        <v>43221</v>
      </c>
      <c r="F58" s="1575">
        <f t="shared" si="16"/>
        <v>43191</v>
      </c>
      <c r="G58" s="1575">
        <f t="shared" si="16"/>
        <v>43160</v>
      </c>
      <c r="H58" s="1575">
        <f t="shared" si="16"/>
        <v>43132</v>
      </c>
      <c r="I58" s="1575">
        <f t="shared" si="16"/>
        <v>43101</v>
      </c>
      <c r="J58" s="1575">
        <f t="shared" si="16"/>
        <v>43070</v>
      </c>
      <c r="K58" s="1575">
        <f t="shared" si="16"/>
        <v>43040</v>
      </c>
      <c r="L58" s="1575">
        <f t="shared" si="16"/>
        <v>43009</v>
      </c>
      <c r="M58" s="1575">
        <f t="shared" si="16"/>
        <v>42979</v>
      </c>
      <c r="N58" s="1575">
        <f t="shared" si="16"/>
        <v>42948</v>
      </c>
      <c r="O58" s="1575">
        <f>EDATE(N58,-1)</f>
        <v>42917</v>
      </c>
      <c r="P58" s="1570"/>
    </row>
    <row r="59" spans="1:29" s="117" customFormat="1" ht="15">
      <c r="A59" s="509"/>
      <c r="B59" s="510"/>
      <c r="C59" s="1573">
        <v>100</v>
      </c>
      <c r="D59" s="512"/>
      <c r="E59" s="512"/>
      <c r="F59" s="512"/>
      <c r="G59" s="512"/>
      <c r="H59" s="512"/>
      <c r="I59" s="512"/>
      <c r="J59" s="512"/>
      <c r="K59" s="512"/>
      <c r="L59" s="512"/>
      <c r="M59" s="513"/>
      <c r="N59" s="512"/>
      <c r="O59" s="513"/>
      <c r="P59" s="2617"/>
    </row>
    <row r="60" spans="1:29" s="117" customFormat="1" ht="15.75" thickBot="1">
      <c r="A60" s="515" t="s">
        <v>2573</v>
      </c>
      <c r="B60" s="516"/>
      <c r="C60" s="517"/>
      <c r="D60" s="518"/>
      <c r="E60" s="518"/>
      <c r="F60" s="518"/>
      <c r="G60" s="518"/>
      <c r="H60" s="518"/>
      <c r="I60" s="518"/>
      <c r="J60" s="518"/>
      <c r="K60" s="518"/>
      <c r="L60" s="518"/>
      <c r="M60" s="519"/>
      <c r="N60" s="518"/>
      <c r="O60" s="519"/>
      <c r="P60" s="2617"/>
      <c r="Q60" s="504"/>
    </row>
    <row r="61" spans="1:29" s="117" customFormat="1" ht="15">
      <c r="A61" s="521" t="s">
        <v>2538</v>
      </c>
      <c r="B61" s="510"/>
      <c r="C61" s="522" t="s">
        <v>2640</v>
      </c>
      <c r="D61" s="523"/>
      <c r="E61" s="523"/>
      <c r="F61" s="523"/>
      <c r="G61" s="523"/>
      <c r="H61" s="523"/>
      <c r="I61" s="523"/>
      <c r="J61" s="523"/>
      <c r="K61" s="523"/>
      <c r="L61" s="524"/>
      <c r="M61" s="525"/>
      <c r="N61" s="1152"/>
      <c r="O61" s="1152"/>
      <c r="P61" s="2618"/>
      <c r="Q61" s="504"/>
    </row>
    <row r="62" spans="1:29" s="117" customFormat="1" ht="15.75" thickBot="1">
      <c r="A62" s="521"/>
      <c r="B62" s="510"/>
      <c r="C62" s="511">
        <v>100</v>
      </c>
      <c r="D62" s="512"/>
      <c r="E62" s="512"/>
      <c r="F62" s="512"/>
      <c r="G62" s="512"/>
      <c r="H62" s="512"/>
      <c r="I62" s="512"/>
      <c r="J62" s="512"/>
      <c r="K62" s="512"/>
      <c r="L62" s="512"/>
      <c r="M62" s="514"/>
      <c r="N62" s="1152"/>
      <c r="O62" s="1152"/>
      <c r="P62" s="2617"/>
      <c r="Q62" s="504"/>
    </row>
    <row r="63" spans="1:29">
      <c r="A63" s="527" t="s">
        <v>2576</v>
      </c>
      <c r="B63" s="528" t="s">
        <v>2542</v>
      </c>
      <c r="C63" s="529">
        <f>C9</f>
        <v>0</v>
      </c>
      <c r="D63" s="530"/>
      <c r="E63" s="530"/>
      <c r="F63" s="530"/>
      <c r="G63" s="530"/>
      <c r="H63" s="530"/>
      <c r="I63" s="530"/>
      <c r="J63" s="530"/>
      <c r="K63" s="531"/>
      <c r="L63" s="532"/>
      <c r="M63" s="533"/>
      <c r="N63" s="1153"/>
      <c r="O63" s="1153"/>
      <c r="P63" s="2619"/>
      <c r="Q63" s="504"/>
    </row>
    <row r="64" spans="1:29" ht="15.75" thickBot="1">
      <c r="A64" s="534"/>
      <c r="B64" s="535"/>
      <c r="C64" s="536">
        <v>100</v>
      </c>
      <c r="D64" s="536"/>
      <c r="E64" s="536"/>
      <c r="F64" s="536"/>
      <c r="G64" s="536"/>
      <c r="H64" s="536"/>
      <c r="I64" s="536"/>
      <c r="J64" s="536"/>
      <c r="K64" s="536"/>
      <c r="L64" s="536"/>
      <c r="M64" s="537"/>
      <c r="N64" s="1154"/>
      <c r="O64" s="1154"/>
      <c r="P64" s="261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19"/>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19"/>
      <c r="Q67" s="504"/>
    </row>
    <row r="68" spans="1:17" ht="15">
      <c r="A68" s="534"/>
      <c r="B68" s="548"/>
      <c r="C68" s="549"/>
      <c r="D68" s="549"/>
      <c r="E68" s="549"/>
      <c r="F68" s="549"/>
      <c r="G68" s="549"/>
      <c r="H68" s="549"/>
      <c r="I68" s="549"/>
      <c r="J68" s="549"/>
      <c r="K68" s="550"/>
      <c r="L68" s="551"/>
      <c r="M68" s="552"/>
      <c r="N68" s="1153"/>
      <c r="O68" s="1153"/>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19"/>
      <c r="Q69" s="504"/>
    </row>
    <row r="70" spans="1:17" s="471" customFormat="1" ht="15.75" thickTop="1">
      <c r="A70" s="553"/>
      <c r="B70" s="538">
        <f>B12</f>
        <v>111</v>
      </c>
      <c r="C70" s="554"/>
      <c r="D70" s="554"/>
      <c r="E70" s="554"/>
      <c r="F70" s="554"/>
      <c r="G70" s="554"/>
      <c r="H70" s="555"/>
      <c r="I70" s="555"/>
      <c r="J70" s="555"/>
      <c r="K70" s="555"/>
      <c r="L70" s="556"/>
      <c r="M70" s="557"/>
      <c r="N70" s="1155"/>
      <c r="O70" s="1155"/>
      <c r="P70" s="2620"/>
      <c r="Q70" s="559"/>
    </row>
    <row r="71" spans="1:17" s="471" customFormat="1" ht="15.75" thickBot="1">
      <c r="A71" s="553"/>
      <c r="B71" s="543"/>
      <c r="C71" s="560"/>
      <c r="D71" s="536"/>
      <c r="E71" s="536"/>
      <c r="F71" s="536"/>
      <c r="G71" s="536"/>
      <c r="H71" s="536"/>
      <c r="I71" s="536"/>
      <c r="J71" s="536"/>
      <c r="K71" s="536"/>
      <c r="L71" s="536"/>
      <c r="M71" s="537"/>
      <c r="N71" s="1154"/>
      <c r="O71" s="1154"/>
      <c r="P71" s="2620"/>
      <c r="Q71" s="559"/>
    </row>
    <row r="72" spans="1:17" s="471" customFormat="1" ht="15.75" thickTop="1">
      <c r="A72" s="553"/>
      <c r="B72" s="538">
        <f>B13</f>
        <v>111</v>
      </c>
      <c r="C72" s="554"/>
      <c r="D72" s="554"/>
      <c r="E72" s="554"/>
      <c r="F72" s="554"/>
      <c r="G72" s="554"/>
      <c r="H72" s="555"/>
      <c r="I72" s="555"/>
      <c r="J72" s="555"/>
      <c r="K72" s="555"/>
      <c r="L72" s="556"/>
      <c r="M72" s="557"/>
      <c r="N72" s="1155"/>
      <c r="O72" s="1155"/>
      <c r="P72" s="2621"/>
      <c r="Q72" s="561"/>
    </row>
    <row r="73" spans="1:17" s="471" customFormat="1" ht="15.75" thickBot="1">
      <c r="A73" s="553"/>
      <c r="B73" s="543"/>
      <c r="C73" s="560"/>
      <c r="D73" s="536"/>
      <c r="E73" s="536"/>
      <c r="F73" s="536"/>
      <c r="G73" s="560"/>
      <c r="H73" s="562"/>
      <c r="I73" s="562"/>
      <c r="J73" s="562"/>
      <c r="K73" s="562"/>
      <c r="L73" s="562"/>
      <c r="M73" s="563"/>
      <c r="N73" s="1155"/>
      <c r="O73" s="1155"/>
      <c r="P73" s="2620"/>
      <c r="Q73" s="559"/>
    </row>
    <row r="74" spans="1:17" s="471" customFormat="1" ht="15.75" thickTop="1">
      <c r="A74" s="553"/>
      <c r="B74" s="546">
        <f>B14</f>
        <v>111</v>
      </c>
      <c r="C74" s="554"/>
      <c r="D74" s="554"/>
      <c r="E74" s="554"/>
      <c r="F74" s="554"/>
      <c r="G74" s="523"/>
      <c r="H74" s="564"/>
      <c r="I74" s="564"/>
      <c r="J74" s="564"/>
      <c r="K74" s="564"/>
      <c r="L74" s="565"/>
      <c r="M74" s="566"/>
      <c r="N74" s="1155"/>
      <c r="O74" s="1155"/>
      <c r="P74" s="2622"/>
      <c r="Q74" s="559"/>
    </row>
    <row r="75" spans="1:17" s="471" customFormat="1" ht="15.75" thickBot="1">
      <c r="A75" s="568"/>
      <c r="B75" s="569"/>
      <c r="C75" s="570"/>
      <c r="D75" s="570"/>
      <c r="E75" s="570"/>
      <c r="F75" s="570"/>
      <c r="G75" s="570"/>
      <c r="H75" s="571"/>
      <c r="I75" s="571"/>
      <c r="J75" s="571"/>
      <c r="K75" s="571"/>
      <c r="L75" s="571"/>
      <c r="M75" s="572"/>
      <c r="N75" s="1155"/>
      <c r="O75" s="1155"/>
      <c r="P75" s="262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3"/>
      <c r="O76" s="1153"/>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1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1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19"/>
      <c r="Q81" s="504"/>
    </row>
    <row r="82" spans="1:17" ht="15.75" thickTop="1">
      <c r="A82" s="534"/>
      <c r="B82" s="546" t="s">
        <v>2643</v>
      </c>
      <c r="C82" s="660" t="s">
        <v>2663</v>
      </c>
      <c r="D82" s="660" t="s">
        <v>2664</v>
      </c>
      <c r="E82" s="660" t="s">
        <v>2665</v>
      </c>
      <c r="F82" s="660" t="s">
        <v>2666</v>
      </c>
      <c r="G82" s="660" t="s">
        <v>2667</v>
      </c>
      <c r="H82" s="539"/>
      <c r="I82" s="539"/>
      <c r="J82" s="539"/>
      <c r="K82" s="539"/>
      <c r="L82" s="539"/>
      <c r="M82" s="1383"/>
      <c r="N82" s="1154"/>
      <c r="O82" s="1154"/>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1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19"/>
      <c r="Q85" s="504"/>
    </row>
    <row r="86" spans="1:17" s="117" customFormat="1" ht="15.75" thickTop="1">
      <c r="A86" s="579"/>
      <c r="B86" s="538" t="s">
        <v>2668</v>
      </c>
      <c r="C86" s="554"/>
      <c r="D86" s="554"/>
      <c r="E86" s="554"/>
      <c r="F86" s="554"/>
      <c r="G86" s="554"/>
      <c r="H86" s="554"/>
      <c r="I86" s="554"/>
      <c r="J86" s="554"/>
      <c r="K86" s="554"/>
      <c r="L86" s="580"/>
      <c r="M86" s="581"/>
      <c r="N86" s="1152"/>
      <c r="O86" s="1152"/>
      <c r="P86" s="261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19"/>
      <c r="Q87" s="504"/>
    </row>
    <row r="88" spans="1:17" s="117" customFormat="1" ht="15.75" thickTop="1">
      <c r="A88" s="579"/>
      <c r="B88" s="538" t="str">
        <f>B26</f>
        <v>平面位置/可视性</v>
      </c>
      <c r="C88" s="554"/>
      <c r="D88" s="554"/>
      <c r="E88" s="554"/>
      <c r="F88" s="2624"/>
      <c r="G88" s="554"/>
      <c r="H88" s="554"/>
      <c r="I88" s="554"/>
      <c r="J88" s="554"/>
      <c r="K88" s="554"/>
      <c r="L88" s="554"/>
      <c r="M88" s="581"/>
      <c r="N88" s="1152"/>
      <c r="O88" s="1152"/>
      <c r="P88" s="2619"/>
      <c r="Q88" s="504"/>
    </row>
    <row r="89" spans="1:17" s="117" customFormat="1" ht="15.75" thickBot="1">
      <c r="A89" s="579"/>
      <c r="B89" s="543"/>
      <c r="C89" s="560"/>
      <c r="D89" s="536"/>
      <c r="E89" s="536"/>
      <c r="F89" s="536"/>
      <c r="G89" s="536"/>
      <c r="H89" s="536"/>
      <c r="I89" s="536"/>
      <c r="J89" s="536"/>
      <c r="K89" s="536"/>
      <c r="L89" s="536"/>
      <c r="M89" s="536"/>
      <c r="N89" s="1154"/>
      <c r="O89" s="1154"/>
      <c r="P89" s="2619"/>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0"/>
      <c r="Q91" s="559"/>
    </row>
    <row r="92" spans="1:17" ht="15.75" thickTop="1">
      <c r="A92" s="534"/>
      <c r="B92" s="538" t="str">
        <f>B28</f>
        <v>楼层</v>
      </c>
      <c r="C92" s="554"/>
      <c r="D92" s="554"/>
      <c r="E92" s="554"/>
      <c r="F92" s="554"/>
      <c r="G92" s="554"/>
      <c r="H92" s="554"/>
      <c r="I92" s="554"/>
      <c r="J92" s="554"/>
      <c r="K92" s="554"/>
      <c r="L92" s="580"/>
      <c r="M92" s="581"/>
      <c r="N92" s="1153"/>
      <c r="O92" s="1153"/>
      <c r="P92" s="2619"/>
      <c r="Q92" s="504"/>
    </row>
    <row r="93" spans="1:17" ht="15.75" thickBot="1">
      <c r="A93" s="534"/>
      <c r="B93" s="543"/>
      <c r="C93" s="536"/>
      <c r="D93" s="536"/>
      <c r="E93" s="536"/>
      <c r="F93" s="536"/>
      <c r="G93" s="536"/>
      <c r="H93" s="536"/>
      <c r="I93" s="536"/>
      <c r="J93" s="536"/>
      <c r="K93" s="536"/>
      <c r="L93" s="536"/>
      <c r="M93" s="537"/>
      <c r="N93" s="1154"/>
      <c r="O93" s="1154"/>
      <c r="P93" s="2619"/>
      <c r="Q93" s="504"/>
    </row>
    <row r="94" spans="1:17" ht="15.75" thickTop="1">
      <c r="A94" s="534"/>
      <c r="B94" s="538">
        <f>B29</f>
        <v>111</v>
      </c>
      <c r="C94" s="554"/>
      <c r="D94" s="554"/>
      <c r="E94" s="554"/>
      <c r="F94" s="554"/>
      <c r="G94" s="583"/>
      <c r="H94" s="583"/>
      <c r="I94" s="583"/>
      <c r="J94" s="583"/>
      <c r="K94" s="584"/>
      <c r="L94" s="585"/>
      <c r="M94" s="586"/>
      <c r="N94" s="1153"/>
      <c r="O94" s="1153"/>
      <c r="P94" s="2619"/>
      <c r="Q94" s="504"/>
    </row>
    <row r="95" spans="1:17" ht="15.75" thickBot="1">
      <c r="A95" s="534"/>
      <c r="B95" s="543"/>
      <c r="C95" s="560"/>
      <c r="D95" s="536"/>
      <c r="E95" s="536"/>
      <c r="F95" s="536"/>
      <c r="G95" s="536"/>
      <c r="H95" s="536"/>
      <c r="I95" s="536"/>
      <c r="J95" s="536"/>
      <c r="K95" s="536"/>
      <c r="L95" s="536"/>
      <c r="M95" s="537"/>
      <c r="N95" s="1154"/>
      <c r="O95" s="1154"/>
      <c r="P95" s="2619"/>
      <c r="Q95" s="504"/>
    </row>
    <row r="96" spans="1:17" ht="15.75" thickTop="1">
      <c r="A96" s="534"/>
      <c r="B96" s="538">
        <f>B30</f>
        <v>111</v>
      </c>
      <c r="C96" s="554"/>
      <c r="D96" s="554"/>
      <c r="E96" s="554"/>
      <c r="F96" s="554"/>
      <c r="G96" s="583"/>
      <c r="H96" s="583"/>
      <c r="I96" s="583"/>
      <c r="J96" s="583"/>
      <c r="K96" s="584"/>
      <c r="L96" s="585"/>
      <c r="M96" s="586"/>
      <c r="N96" s="1153"/>
      <c r="O96" s="1153"/>
      <c r="P96" s="2619"/>
      <c r="Q96" s="504"/>
    </row>
    <row r="97" spans="1:17" ht="15.75" thickBot="1">
      <c r="A97" s="534"/>
      <c r="B97" s="543"/>
      <c r="C97" s="560"/>
      <c r="D97" s="536"/>
      <c r="E97" s="536"/>
      <c r="F97" s="536"/>
      <c r="G97" s="536"/>
      <c r="H97" s="536"/>
      <c r="I97" s="536"/>
      <c r="J97" s="536"/>
      <c r="K97" s="536"/>
      <c r="L97" s="536"/>
      <c r="M97" s="537"/>
      <c r="N97" s="1154"/>
      <c r="O97" s="1154"/>
      <c r="P97" s="2619"/>
      <c r="Q97" s="504"/>
    </row>
    <row r="98" spans="1:17" ht="15.75" thickTop="1">
      <c r="A98" s="534"/>
      <c r="B98" s="546">
        <f>B31</f>
        <v>111</v>
      </c>
      <c r="C98" s="554"/>
      <c r="D98" s="554"/>
      <c r="E98" s="554"/>
      <c r="F98" s="554"/>
      <c r="G98" s="587"/>
      <c r="H98" s="587"/>
      <c r="I98" s="587"/>
      <c r="J98" s="587"/>
      <c r="K98" s="588"/>
      <c r="L98" s="589"/>
      <c r="M98" s="590"/>
      <c r="N98" s="1153"/>
      <c r="O98" s="1153"/>
      <c r="P98" s="2619"/>
      <c r="Q98" s="504"/>
    </row>
    <row r="99" spans="1:17" ht="15.75" thickBot="1">
      <c r="A99" s="2625"/>
      <c r="B99" s="569"/>
      <c r="C99" s="570"/>
      <c r="D99" s="570"/>
      <c r="E99" s="570"/>
      <c r="F99" s="570"/>
      <c r="G99" s="591"/>
      <c r="H99" s="591"/>
      <c r="I99" s="591"/>
      <c r="J99" s="591"/>
      <c r="K99" s="591"/>
      <c r="L99" s="591"/>
      <c r="M99" s="592"/>
      <c r="N99" s="1154"/>
      <c r="O99" s="1154"/>
      <c r="P99" s="2619"/>
      <c r="Q99" s="504"/>
    </row>
    <row r="100" spans="1:17">
      <c r="A100" s="527" t="s">
        <v>2551</v>
      </c>
      <c r="B100" s="528" t="s">
        <v>2669</v>
      </c>
      <c r="C100" s="530"/>
      <c r="D100" s="530"/>
      <c r="E100" s="530"/>
      <c r="F100" s="530"/>
      <c r="G100" s="530"/>
      <c r="H100" s="530"/>
      <c r="I100" s="530"/>
      <c r="J100" s="530"/>
      <c r="K100" s="531"/>
      <c r="L100" s="532"/>
      <c r="M100" s="533"/>
      <c r="N100" s="1153"/>
      <c r="O100" s="1153"/>
      <c r="P100" s="261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19"/>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19"/>
      <c r="Q102" s="504"/>
    </row>
    <row r="103" spans="1:17" s="471" customFormat="1">
      <c r="A103" s="593"/>
      <c r="B103" s="594"/>
      <c r="C103" s="595"/>
      <c r="D103" s="595"/>
      <c r="E103" s="595"/>
      <c r="F103" s="595"/>
      <c r="G103" s="595"/>
      <c r="H103" s="595"/>
      <c r="I103" s="595"/>
      <c r="J103" s="596"/>
      <c r="K103" s="596"/>
      <c r="L103" s="597"/>
      <c r="M103" s="598"/>
      <c r="N103" s="1155"/>
      <c r="O103" s="1155"/>
      <c r="P103" s="2620"/>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0"/>
      <c r="Q104" s="559"/>
    </row>
    <row r="105" spans="1:17" ht="15" thickTop="1">
      <c r="A105" s="599"/>
      <c r="B105" s="538" t="s">
        <v>2602</v>
      </c>
      <c r="C105" s="554"/>
      <c r="D105" s="554"/>
      <c r="E105" s="583"/>
      <c r="F105" s="583"/>
      <c r="G105" s="583"/>
      <c r="H105" s="583"/>
      <c r="I105" s="583"/>
      <c r="J105" s="583"/>
      <c r="K105" s="584"/>
      <c r="L105" s="585"/>
      <c r="M105" s="586"/>
      <c r="N105" s="1153"/>
      <c r="O105" s="1153"/>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19"/>
      <c r="Q106" s="504"/>
    </row>
    <row r="107" spans="1:17" ht="15" thickTop="1">
      <c r="A107" s="599"/>
      <c r="B107" s="538" t="s">
        <v>2604</v>
      </c>
      <c r="C107" s="554"/>
      <c r="D107" s="554"/>
      <c r="E107" s="554"/>
      <c r="F107" s="583"/>
      <c r="G107" s="583"/>
      <c r="H107" s="583"/>
      <c r="I107" s="583"/>
      <c r="J107" s="583"/>
      <c r="K107" s="584"/>
      <c r="L107" s="585"/>
      <c r="M107" s="586"/>
      <c r="N107" s="1153"/>
      <c r="O107" s="1153"/>
      <c r="P107" s="261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1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1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1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19"/>
      <c r="Q111" s="504"/>
    </row>
    <row r="112" spans="1:17" s="471" customFormat="1" ht="15" thickTop="1">
      <c r="A112" s="593"/>
      <c r="B112" s="538" t="s">
        <v>2606</v>
      </c>
      <c r="C112" s="554"/>
      <c r="D112" s="554"/>
      <c r="E112" s="554"/>
      <c r="F112" s="554"/>
      <c r="G112" s="554"/>
      <c r="H112" s="583"/>
      <c r="I112" s="583"/>
      <c r="J112" s="583"/>
      <c r="K112" s="584"/>
      <c r="L112" s="585"/>
      <c r="M112" s="586"/>
      <c r="N112" s="1155"/>
      <c r="O112" s="1155"/>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0"/>
      <c r="Q113" s="559"/>
    </row>
    <row r="114" spans="1:17" ht="15" thickTop="1">
      <c r="A114" s="599"/>
      <c r="B114" s="538" t="s">
        <v>2670</v>
      </c>
      <c r="C114" s="554"/>
      <c r="D114" s="554"/>
      <c r="E114" s="583"/>
      <c r="F114" s="583"/>
      <c r="G114" s="583"/>
      <c r="H114" s="583"/>
      <c r="I114" s="583"/>
      <c r="J114" s="583"/>
      <c r="K114" s="584"/>
      <c r="L114" s="585"/>
      <c r="M114" s="586"/>
      <c r="N114" s="1153"/>
      <c r="O114" s="1153"/>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19"/>
      <c r="Q115" s="504"/>
    </row>
    <row r="116" spans="1:17" ht="15" thickTop="1">
      <c r="A116" s="599"/>
      <c r="B116" s="538" t="s">
        <v>2671</v>
      </c>
      <c r="C116" s="554"/>
      <c r="D116" s="554"/>
      <c r="E116" s="554"/>
      <c r="F116" s="554"/>
      <c r="G116" s="554"/>
      <c r="H116" s="583"/>
      <c r="I116" s="583"/>
      <c r="J116" s="583"/>
      <c r="K116" s="584"/>
      <c r="L116" s="585"/>
      <c r="M116" s="586"/>
      <c r="N116" s="1153"/>
      <c r="O116" s="1153"/>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19"/>
      <c r="Q117" s="504"/>
    </row>
    <row r="118" spans="1:17" ht="15" thickTop="1">
      <c r="A118" s="599"/>
      <c r="B118" s="538" t="s">
        <v>2672</v>
      </c>
      <c r="C118" s="627"/>
      <c r="D118" s="627"/>
      <c r="E118" s="627"/>
      <c r="F118" s="627"/>
      <c r="G118" s="627"/>
      <c r="H118" s="555"/>
      <c r="I118" s="555"/>
      <c r="J118" s="555"/>
      <c r="K118" s="555"/>
      <c r="L118" s="556"/>
      <c r="M118" s="557"/>
      <c r="N118" s="1153"/>
      <c r="O118" s="1153"/>
      <c r="P118" s="2619"/>
      <c r="Q118" s="504"/>
    </row>
    <row r="119" spans="1:17" ht="15.75" thickBot="1">
      <c r="A119" s="534"/>
      <c r="B119" s="543"/>
      <c r="C119" s="560"/>
      <c r="D119" s="536"/>
      <c r="E119" s="536"/>
      <c r="F119" s="536"/>
      <c r="G119" s="536"/>
      <c r="H119" s="536"/>
      <c r="I119" s="536"/>
      <c r="J119" s="536"/>
      <c r="K119" s="536"/>
      <c r="L119" s="536"/>
      <c r="M119" s="537"/>
      <c r="N119" s="1154"/>
      <c r="O119" s="1154"/>
      <c r="P119" s="2619"/>
      <c r="Q119" s="504"/>
    </row>
    <row r="120" spans="1:17" s="471" customFormat="1" ht="15" thickTop="1">
      <c r="A120" s="593"/>
      <c r="B120" s="538" t="s">
        <v>2673</v>
      </c>
      <c r="C120" s="583"/>
      <c r="D120" s="583"/>
      <c r="E120" s="583"/>
      <c r="F120" s="583"/>
      <c r="G120" s="555"/>
      <c r="H120" s="555"/>
      <c r="I120" s="555"/>
      <c r="J120" s="555"/>
      <c r="K120" s="555"/>
      <c r="L120" s="556"/>
      <c r="M120" s="557"/>
      <c r="N120" s="1155"/>
      <c r="O120" s="1155"/>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0"/>
      <c r="Q121" s="559"/>
    </row>
    <row r="122" spans="1:17" ht="15" thickTop="1">
      <c r="A122" s="599"/>
      <c r="B122" s="538" t="s">
        <v>2608</v>
      </c>
      <c r="C122" s="554"/>
      <c r="D122" s="554"/>
      <c r="E122" s="554"/>
      <c r="F122" s="583"/>
      <c r="G122" s="583"/>
      <c r="H122" s="583"/>
      <c r="I122" s="583"/>
      <c r="J122" s="583"/>
      <c r="K122" s="584"/>
      <c r="L122" s="585"/>
      <c r="M122" s="586"/>
      <c r="N122" s="1153"/>
      <c r="O122" s="1153"/>
      <c r="P122" s="261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1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1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0"/>
      <c r="Q127" s="559"/>
    </row>
    <row r="128" spans="1:17" ht="15" thickTop="1">
      <c r="A128" s="599"/>
      <c r="B128" s="538">
        <f>B45</f>
        <v>111</v>
      </c>
      <c r="C128" s="554"/>
      <c r="D128" s="554"/>
      <c r="E128" s="554"/>
      <c r="F128" s="554"/>
      <c r="G128" s="583"/>
      <c r="H128" s="583"/>
      <c r="I128" s="583"/>
      <c r="J128" s="583"/>
      <c r="K128" s="584"/>
      <c r="L128" s="585"/>
      <c r="M128" s="586"/>
      <c r="N128" s="1153"/>
      <c r="O128" s="1153"/>
      <c r="P128" s="2619"/>
      <c r="Q128" s="504"/>
    </row>
    <row r="129" spans="1:17" ht="15.75" thickBot="1">
      <c r="A129" s="534"/>
      <c r="B129" s="543"/>
      <c r="C129" s="560"/>
      <c r="D129" s="536"/>
      <c r="E129" s="536"/>
      <c r="F129" s="536"/>
      <c r="G129" s="536"/>
      <c r="H129" s="536"/>
      <c r="I129" s="536"/>
      <c r="J129" s="536"/>
      <c r="K129" s="536"/>
      <c r="L129" s="536"/>
      <c r="M129" s="537"/>
      <c r="N129" s="1154"/>
      <c r="O129" s="1154"/>
      <c r="P129" s="2619"/>
      <c r="Q129" s="504"/>
    </row>
    <row r="130" spans="1:17" ht="15" thickTop="1">
      <c r="A130" s="599"/>
      <c r="B130" s="546">
        <f>B46</f>
        <v>111</v>
      </c>
      <c r="C130" s="554"/>
      <c r="D130" s="554"/>
      <c r="E130" s="554"/>
      <c r="F130" s="554"/>
      <c r="G130" s="587"/>
      <c r="H130" s="587"/>
      <c r="I130" s="587"/>
      <c r="J130" s="587"/>
      <c r="K130" s="523"/>
      <c r="L130" s="524"/>
      <c r="M130" s="590"/>
      <c r="N130" s="1153"/>
      <c r="O130" s="1153"/>
      <c r="P130" s="2619"/>
      <c r="Q130" s="504"/>
    </row>
    <row r="131" spans="1:17" ht="15.75" thickBot="1">
      <c r="A131" s="2625"/>
      <c r="B131" s="569"/>
      <c r="C131" s="570"/>
      <c r="D131" s="570"/>
      <c r="E131" s="570"/>
      <c r="F131" s="570"/>
      <c r="G131" s="591"/>
      <c r="H131" s="591"/>
      <c r="I131" s="591"/>
      <c r="J131" s="591"/>
      <c r="K131" s="591"/>
      <c r="L131" s="591"/>
      <c r="M131" s="592"/>
      <c r="N131" s="1154"/>
      <c r="O131" s="1154"/>
      <c r="P131" s="261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58" t="s">
        <v>2690</v>
      </c>
      <c r="C1" s="1620" t="s">
        <v>2518</v>
      </c>
      <c r="D1" s="1621"/>
      <c r="E1" s="1630"/>
      <c r="F1" s="257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t="e">
        <f ca="1">IF(C2="——",ROUND(C43*D3/10000,0),ROUND(C43*D3/10000,0)-D2)</f>
        <v>#DIV/0!</v>
      </c>
      <c r="C2" s="2575"/>
      <c r="D2" s="1125" t="e">
        <f ca="1">SUMIF(INDIRECT("'"&amp;F2&amp;"'"&amp;"!A:A"),"承租人权益价值",INDIRECT("'"&amp;F2&amp;"'"&amp;"!c:c"))</f>
        <v>#REF!</v>
      </c>
      <c r="E2" s="2576" t="s">
        <v>2316</v>
      </c>
      <c r="F2" s="2577"/>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1812.99</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97" t="s">
        <v>2634</v>
      </c>
      <c r="D4" s="3198"/>
      <c r="E4" s="3199" t="s">
        <v>2635</v>
      </c>
      <c r="F4" s="3200"/>
      <c r="G4" s="3197" t="s">
        <v>2636</v>
      </c>
      <c r="H4" s="3198"/>
      <c r="I4" s="3197" t="s">
        <v>2637</v>
      </c>
      <c r="J4" s="3198"/>
      <c r="K4" s="610" t="s">
        <v>2638</v>
      </c>
      <c r="L4" s="1131"/>
      <c r="M4" s="1132"/>
      <c r="N4" s="1132"/>
      <c r="O4" s="1132"/>
      <c r="P4" s="3253" t="s">
        <v>2639</v>
      </c>
      <c r="Q4" s="3254"/>
      <c r="R4" s="3250" t="s">
        <v>2635</v>
      </c>
      <c r="S4" s="3251"/>
      <c r="T4" s="3250" t="s">
        <v>2636</v>
      </c>
      <c r="U4" s="3251"/>
      <c r="V4" s="3210" t="s">
        <v>2637</v>
      </c>
      <c r="W4" s="3210"/>
      <c r="X4" s="1813"/>
      <c r="Y4" s="3250" t="s">
        <v>2639</v>
      </c>
      <c r="Z4" s="3251"/>
      <c r="AA4" s="3249" t="s">
        <v>2635</v>
      </c>
      <c r="AB4" s="3175" t="s">
        <v>2636</v>
      </c>
      <c r="AC4" s="3249" t="s">
        <v>2637</v>
      </c>
    </row>
    <row r="5" spans="1:29" ht="15">
      <c r="A5" s="404"/>
      <c r="B5" s="405"/>
      <c r="C5" s="3189" t="s">
        <v>2530</v>
      </c>
      <c r="D5" s="3186"/>
      <c r="E5" s="3252" t="s">
        <v>2531</v>
      </c>
      <c r="F5" s="3184"/>
      <c r="G5" s="3189" t="s">
        <v>2532</v>
      </c>
      <c r="H5" s="3186"/>
      <c r="I5" s="3189" t="s">
        <v>2533</v>
      </c>
      <c r="J5" s="3186"/>
      <c r="K5" s="610"/>
      <c r="L5" s="1131"/>
      <c r="M5" s="1132"/>
      <c r="N5" s="1132"/>
      <c r="O5" s="1132"/>
      <c r="P5" s="3255"/>
      <c r="Q5" s="3204"/>
      <c r="R5" s="3181"/>
      <c r="S5" s="3182"/>
      <c r="T5" s="3181"/>
      <c r="U5" s="3182"/>
      <c r="V5" s="3210"/>
      <c r="W5" s="3210"/>
      <c r="X5" s="1813"/>
      <c r="Y5" s="3181"/>
      <c r="Z5" s="3182"/>
      <c r="AA5" s="3175"/>
      <c r="AB5" s="3175"/>
      <c r="AC5" s="3175"/>
    </row>
    <row r="6" spans="1:29" ht="15.75" thickBot="1">
      <c r="A6" s="406"/>
      <c r="B6" s="407"/>
      <c r="C6" s="3192" t="s">
        <v>2534</v>
      </c>
      <c r="D6" s="3188"/>
      <c r="E6" s="3190" t="s">
        <v>2534</v>
      </c>
      <c r="F6" s="3191"/>
      <c r="G6" s="3192" t="s">
        <v>2534</v>
      </c>
      <c r="H6" s="3188"/>
      <c r="I6" s="3192" t="s">
        <v>2534</v>
      </c>
      <c r="J6" s="3188"/>
      <c r="K6" s="610" t="s">
        <v>2535</v>
      </c>
      <c r="L6" s="1131"/>
      <c r="M6" s="1132"/>
      <c r="N6" s="1132"/>
      <c r="O6" s="1132"/>
      <c r="P6" s="3256"/>
      <c r="Q6" s="3206"/>
      <c r="R6" s="3181"/>
      <c r="S6" s="3182"/>
      <c r="T6" s="3207"/>
      <c r="U6" s="3208"/>
      <c r="V6" s="3210"/>
      <c r="W6" s="3210"/>
      <c r="X6" s="1813"/>
      <c r="Y6" s="3207"/>
      <c r="Z6" s="3208"/>
      <c r="AA6" s="3176"/>
      <c r="AB6" s="3176"/>
      <c r="AC6" s="3176"/>
    </row>
    <row r="7" spans="1:29" s="117" customFormat="1" ht="15.75" thickBot="1">
      <c r="A7" s="408" t="s">
        <v>2536</v>
      </c>
      <c r="B7" s="409"/>
      <c r="C7" s="410">
        <f>'数据-取费表'!B2</f>
        <v>43293</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77" t="s">
        <v>2537</v>
      </c>
      <c r="Q7" s="3212"/>
      <c r="R7" s="770" t="s">
        <v>17</v>
      </c>
      <c r="S7" s="771">
        <f t="shared" ref="S7:S15" si="0">F7</f>
        <v>0</v>
      </c>
      <c r="T7" s="770" t="s">
        <v>17</v>
      </c>
      <c r="U7" s="771">
        <f t="shared" ref="U7:U15" si="1">H7</f>
        <v>0</v>
      </c>
      <c r="V7" s="770" t="s">
        <v>17</v>
      </c>
      <c r="W7" s="771">
        <f t="shared" ref="W7:W15" si="2">J7</f>
        <v>0</v>
      </c>
      <c r="X7" s="772"/>
      <c r="Y7" s="3177" t="s">
        <v>2537</v>
      </c>
      <c r="Z7" s="3178"/>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77" t="s">
        <v>2540</v>
      </c>
      <c r="Q8" s="3178"/>
      <c r="R8" s="770" t="s">
        <v>17</v>
      </c>
      <c r="S8" s="771">
        <f t="shared" si="0"/>
        <v>0</v>
      </c>
      <c r="T8" s="770" t="s">
        <v>17</v>
      </c>
      <c r="U8" s="771">
        <f t="shared" si="1"/>
        <v>0</v>
      </c>
      <c r="V8" s="770" t="s">
        <v>17</v>
      </c>
      <c r="W8" s="771">
        <f t="shared" si="2"/>
        <v>0</v>
      </c>
      <c r="X8" s="772"/>
      <c r="Y8" s="3177" t="s">
        <v>2540</v>
      </c>
      <c r="Z8" s="3178"/>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22" t="s">
        <v>2543</v>
      </c>
      <c r="Q9" s="1795" t="str">
        <f t="shared" ref="Q9:Q15" si="6">B9</f>
        <v>用途</v>
      </c>
      <c r="R9" s="770" t="s">
        <v>17</v>
      </c>
      <c r="S9" s="771">
        <f t="shared" si="0"/>
        <v>100</v>
      </c>
      <c r="T9" s="770" t="s">
        <v>17</v>
      </c>
      <c r="U9" s="771">
        <f t="shared" si="1"/>
        <v>100</v>
      </c>
      <c r="V9" s="770" t="s">
        <v>17</v>
      </c>
      <c r="W9" s="771">
        <f t="shared" si="2"/>
        <v>100</v>
      </c>
      <c r="X9" s="772"/>
      <c r="Y9" s="304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22"/>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22"/>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33"/>
      <c r="M12" s="1134"/>
      <c r="N12" s="1134"/>
      <c r="O12" s="1135"/>
      <c r="P12" s="3222"/>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41"/>
      <c r="M13" s="1132"/>
      <c r="N13" s="1132"/>
      <c r="O13" s="1140"/>
      <c r="P13" s="3222"/>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41"/>
      <c r="M14" s="1132"/>
      <c r="N14" s="1132"/>
      <c r="O14" s="1140"/>
      <c r="P14" s="3222"/>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2547</v>
      </c>
      <c r="B15" s="69" t="s">
        <v>2691</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15" t="s">
        <v>2548</v>
      </c>
      <c r="Q15" s="1810" t="str">
        <f t="shared" si="6"/>
        <v>产业集聚程度</v>
      </c>
      <c r="R15" s="774" t="s">
        <v>17</v>
      </c>
      <c r="S15" s="775">
        <f t="shared" si="0"/>
        <v>100</v>
      </c>
      <c r="T15" s="774" t="s">
        <v>17</v>
      </c>
      <c r="U15" s="775">
        <f t="shared" si="1"/>
        <v>100</v>
      </c>
      <c r="V15" s="774" t="s">
        <v>17</v>
      </c>
      <c r="W15" s="775">
        <f t="shared" si="2"/>
        <v>100</v>
      </c>
      <c r="X15" s="1813"/>
      <c r="Y15" s="3215"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16"/>
      <c r="Q16" s="1810"/>
      <c r="R16" s="774"/>
      <c r="S16" s="775"/>
      <c r="T16" s="774"/>
      <c r="U16" s="775"/>
      <c r="V16" s="774"/>
      <c r="W16" s="775"/>
      <c r="X16" s="1813"/>
      <c r="Y16" s="3216"/>
      <c r="Z16" s="1814"/>
      <c r="AA16" s="1811">
        <v>1</v>
      </c>
      <c r="AB16" s="1811">
        <v>1</v>
      </c>
      <c r="AC16" s="1811">
        <v>1</v>
      </c>
    </row>
    <row r="17" spans="1:29" ht="85.5">
      <c r="A17" s="428"/>
      <c r="B17" s="451" t="s">
        <v>2089</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16"/>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456"/>
      <c r="C18" s="2597"/>
      <c r="D18" s="450"/>
      <c r="E18" s="2599"/>
      <c r="F18" s="453"/>
      <c r="G18" s="2598"/>
      <c r="H18" s="448"/>
      <c r="I18" s="2599"/>
      <c r="J18" s="448"/>
      <c r="K18" s="615"/>
      <c r="L18" s="1141"/>
      <c r="M18" s="1132"/>
      <c r="N18" s="1132"/>
      <c r="O18" s="1140"/>
      <c r="P18" s="3216"/>
      <c r="Q18" s="1810"/>
      <c r="R18" s="774"/>
      <c r="S18" s="775"/>
      <c r="T18" s="774"/>
      <c r="U18" s="775"/>
      <c r="V18" s="774"/>
      <c r="W18" s="775"/>
      <c r="X18" s="1813"/>
      <c r="Y18" s="3216"/>
      <c r="Z18" s="1814"/>
      <c r="AA18" s="1811">
        <v>1</v>
      </c>
      <c r="AB18" s="1811">
        <v>1</v>
      </c>
      <c r="AC18" s="1811">
        <v>1</v>
      </c>
    </row>
    <row r="19" spans="1:29" ht="42.75">
      <c r="A19" s="428"/>
      <c r="B19" s="451" t="s">
        <v>2676</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16"/>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594"/>
      <c r="F20" s="449"/>
      <c r="G20" s="2593"/>
      <c r="H20" s="448"/>
      <c r="I20" s="2594"/>
      <c r="J20" s="448"/>
      <c r="K20" s="615"/>
      <c r="L20" s="1141"/>
      <c r="M20" s="1132"/>
      <c r="N20" s="1132"/>
      <c r="O20" s="1140"/>
      <c r="P20" s="3216"/>
      <c r="Q20" s="1810"/>
      <c r="R20" s="774"/>
      <c r="S20" s="775"/>
      <c r="T20" s="774"/>
      <c r="U20" s="775"/>
      <c r="V20" s="774"/>
      <c r="W20" s="775"/>
      <c r="X20" s="1813"/>
      <c r="Y20" s="3216"/>
      <c r="Z20" s="1814"/>
      <c r="AA20" s="1811">
        <v>1</v>
      </c>
      <c r="AB20" s="1811">
        <v>1</v>
      </c>
      <c r="AC20" s="1811">
        <v>1</v>
      </c>
    </row>
    <row r="21" spans="1:29" ht="28.5">
      <c r="A21" s="428"/>
      <c r="B21" s="1385" t="s">
        <v>2677</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16"/>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9"/>
      <c r="G22" s="447"/>
      <c r="H22" s="448"/>
      <c r="I22" s="447"/>
      <c r="J22" s="448"/>
      <c r="K22" s="1384"/>
      <c r="L22" s="1141"/>
      <c r="M22" s="1132"/>
      <c r="N22" s="1132"/>
      <c r="O22" s="1140"/>
      <c r="P22" s="3216"/>
      <c r="Q22" s="1810"/>
      <c r="R22" s="774"/>
      <c r="S22" s="775"/>
      <c r="T22" s="774"/>
      <c r="U22" s="775"/>
      <c r="V22" s="774"/>
      <c r="W22" s="775"/>
      <c r="X22" s="1813"/>
      <c r="Y22" s="3216"/>
      <c r="Z22" s="1814"/>
      <c r="AA22" s="1811">
        <v>1</v>
      </c>
      <c r="AB22" s="1811">
        <v>1</v>
      </c>
      <c r="AC22" s="1811">
        <v>1</v>
      </c>
    </row>
    <row r="23" spans="1:29" ht="71.25">
      <c r="A23" s="428"/>
      <c r="B23" s="451" t="s">
        <v>2678</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16"/>
      <c r="Q23" s="1810" t="str">
        <f>B23</f>
        <v>环境质量</v>
      </c>
      <c r="R23" s="774" t="s">
        <v>17</v>
      </c>
      <c r="S23" s="775">
        <f>F23</f>
        <v>100</v>
      </c>
      <c r="T23" s="774" t="s">
        <v>17</v>
      </c>
      <c r="U23" s="775">
        <f>H23</f>
        <v>100</v>
      </c>
      <c r="V23" s="774" t="s">
        <v>17</v>
      </c>
      <c r="W23" s="775">
        <f>J23</f>
        <v>100</v>
      </c>
      <c r="X23" s="1813"/>
      <c r="Y23" s="3216"/>
      <c r="Z23" s="1814" t="str">
        <f>Q23</f>
        <v>环境质量</v>
      </c>
      <c r="AA23" s="1811">
        <f t="shared" si="3"/>
        <v>1</v>
      </c>
      <c r="AB23" s="1811">
        <f t="shared" si="4"/>
        <v>1</v>
      </c>
      <c r="AC23" s="1811">
        <f t="shared" si="5"/>
        <v>1</v>
      </c>
    </row>
    <row r="24" spans="1:29" ht="15">
      <c r="A24" s="428"/>
      <c r="B24" s="1385"/>
      <c r="C24" s="447"/>
      <c r="D24" s="448"/>
      <c r="E24" s="2594"/>
      <c r="F24" s="449"/>
      <c r="G24" s="2593"/>
      <c r="H24" s="448"/>
      <c r="I24" s="2594"/>
      <c r="J24" s="448"/>
      <c r="K24" s="615"/>
      <c r="L24" s="1141"/>
      <c r="M24" s="1132"/>
      <c r="N24" s="1132"/>
      <c r="O24" s="1140"/>
      <c r="P24" s="3216"/>
      <c r="Q24" s="1810"/>
      <c r="R24" s="774"/>
      <c r="S24" s="775"/>
      <c r="T24" s="774"/>
      <c r="U24" s="775"/>
      <c r="V24" s="774"/>
      <c r="W24" s="775"/>
      <c r="X24" s="1813"/>
      <c r="Y24" s="3216"/>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16"/>
      <c r="Q25" s="1810">
        <f>B25</f>
        <v>111</v>
      </c>
      <c r="R25" s="774" t="s">
        <v>17</v>
      </c>
      <c r="S25" s="775">
        <f>F25</f>
        <v>100</v>
      </c>
      <c r="T25" s="774" t="s">
        <v>17</v>
      </c>
      <c r="U25" s="775">
        <f>H25</f>
        <v>100</v>
      </c>
      <c r="V25" s="774" t="s">
        <v>17</v>
      </c>
      <c r="W25" s="775">
        <f>J25</f>
        <v>100</v>
      </c>
      <c r="X25" s="1813"/>
      <c r="Y25" s="3216"/>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16"/>
      <c r="Q26" s="1810">
        <f t="shared" ref="Q26:Q40" si="11">B26</f>
        <v>111</v>
      </c>
      <c r="R26" s="774" t="s">
        <v>17</v>
      </c>
      <c r="S26" s="775">
        <f>F26</f>
        <v>100</v>
      </c>
      <c r="T26" s="774" t="s">
        <v>17</v>
      </c>
      <c r="U26" s="775">
        <f>H26</f>
        <v>100</v>
      </c>
      <c r="V26" s="774" t="s">
        <v>17</v>
      </c>
      <c r="W26" s="775">
        <f>J26</f>
        <v>100</v>
      </c>
      <c r="X26" s="1813"/>
      <c r="Y26" s="3216"/>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16"/>
      <c r="Q27" s="1795">
        <f t="shared" si="11"/>
        <v>111</v>
      </c>
      <c r="R27" s="770" t="s">
        <v>17</v>
      </c>
      <c r="S27" s="771">
        <f>F27</f>
        <v>100</v>
      </c>
      <c r="T27" s="770" t="s">
        <v>17</v>
      </c>
      <c r="U27" s="771">
        <f>H27</f>
        <v>100</v>
      </c>
      <c r="V27" s="770" t="s">
        <v>17</v>
      </c>
      <c r="W27" s="771">
        <f>J27</f>
        <v>100</v>
      </c>
      <c r="X27" s="772"/>
      <c r="Y27" s="3216"/>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16"/>
      <c r="Q28" s="1810">
        <f t="shared" si="11"/>
        <v>111</v>
      </c>
      <c r="R28" s="774" t="s">
        <v>17</v>
      </c>
      <c r="S28" s="775">
        <f t="shared" ref="S28:S40" si="12">F28</f>
        <v>100</v>
      </c>
      <c r="T28" s="774" t="s">
        <v>17</v>
      </c>
      <c r="U28" s="775">
        <f t="shared" ref="U28:U40" si="13">H28</f>
        <v>100</v>
      </c>
      <c r="V28" s="774" t="s">
        <v>17</v>
      </c>
      <c r="W28" s="775">
        <f t="shared" ref="W28:W40" si="14">J28</f>
        <v>100</v>
      </c>
      <c r="X28" s="1813"/>
      <c r="Y28" s="3216"/>
      <c r="Z28" s="1814">
        <f t="shared" ref="Z28:Z40" si="15">Q28</f>
        <v>111</v>
      </c>
      <c r="AA28" s="1811">
        <f t="shared" si="3"/>
        <v>1</v>
      </c>
      <c r="AB28" s="1811">
        <f t="shared" si="4"/>
        <v>1</v>
      </c>
      <c r="AC28" s="1811">
        <f t="shared" si="5"/>
        <v>1</v>
      </c>
    </row>
    <row r="29" spans="1:29" ht="28.5">
      <c r="A29" s="466" t="s">
        <v>2551</v>
      </c>
      <c r="B29" s="71" t="s">
        <v>2681</v>
      </c>
      <c r="C29" s="2668"/>
      <c r="D29" s="467">
        <v>100</v>
      </c>
      <c r="E29" s="2668"/>
      <c r="F29" s="461">
        <f>SUMIF(88:88,E29,89:89)-SUMIF(88:88,C29,89:89)+100</f>
        <v>100</v>
      </c>
      <c r="G29" s="2668"/>
      <c r="H29" s="435">
        <f>SUMIF(88:88,G29,89:89)-SUMIF(88:88,C29,89:89)+100</f>
        <v>100</v>
      </c>
      <c r="I29" s="2668"/>
      <c r="J29" s="467">
        <f>SUMIF(88:88,I29,89:89)-SUMIF(88:88,C29,89:89)+100</f>
        <v>100</v>
      </c>
      <c r="K29" s="612"/>
      <c r="L29" s="1141"/>
      <c r="M29" s="1132"/>
      <c r="N29" s="1132"/>
      <c r="O29" s="1140"/>
      <c r="P29" s="3260" t="s">
        <v>2553</v>
      </c>
      <c r="Q29" s="1810" t="str">
        <f t="shared" si="11"/>
        <v>建筑类型</v>
      </c>
      <c r="R29" s="774" t="s">
        <v>17</v>
      </c>
      <c r="S29" s="775">
        <f t="shared" si="12"/>
        <v>100</v>
      </c>
      <c r="T29" s="774" t="s">
        <v>17</v>
      </c>
      <c r="U29" s="775">
        <f t="shared" si="13"/>
        <v>100</v>
      </c>
      <c r="V29" s="774" t="s">
        <v>17</v>
      </c>
      <c r="W29" s="775">
        <f t="shared" si="14"/>
        <v>100</v>
      </c>
      <c r="X29" s="1813"/>
      <c r="Y29" s="3220" t="s">
        <v>2553</v>
      </c>
      <c r="Z29" s="1814" t="str">
        <f t="shared" si="15"/>
        <v>建筑类型</v>
      </c>
      <c r="AA29" s="1811">
        <f t="shared" si="3"/>
        <v>1</v>
      </c>
      <c r="AB29" s="1811">
        <f t="shared" si="4"/>
        <v>1</v>
      </c>
      <c r="AC29" s="1811">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20"/>
      <c r="Q31" s="1810" t="str">
        <f t="shared" si="11"/>
        <v>建筑结构</v>
      </c>
      <c r="R31" s="774" t="s">
        <v>17</v>
      </c>
      <c r="S31" s="775">
        <f t="shared" si="12"/>
        <v>100</v>
      </c>
      <c r="T31" s="774" t="s">
        <v>17</v>
      </c>
      <c r="U31" s="775">
        <f t="shared" si="13"/>
        <v>100</v>
      </c>
      <c r="V31" s="774" t="s">
        <v>17</v>
      </c>
      <c r="W31" s="775">
        <f t="shared" si="14"/>
        <v>100</v>
      </c>
      <c r="X31" s="1813"/>
      <c r="Y31" s="3220"/>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20"/>
      <c r="Q32" s="1810" t="str">
        <f t="shared" si="11"/>
        <v>公共部分装修</v>
      </c>
      <c r="R32" s="774" t="s">
        <v>17</v>
      </c>
      <c r="S32" s="775">
        <f t="shared" si="12"/>
        <v>100</v>
      </c>
      <c r="T32" s="774" t="s">
        <v>17</v>
      </c>
      <c r="U32" s="775">
        <f t="shared" si="13"/>
        <v>100</v>
      </c>
      <c r="V32" s="774" t="s">
        <v>17</v>
      </c>
      <c r="W32" s="775">
        <f t="shared" si="14"/>
        <v>100</v>
      </c>
      <c r="X32" s="1813"/>
      <c r="Y32" s="3220"/>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20"/>
      <c r="Q33" s="1810" t="str">
        <f t="shared" si="11"/>
        <v>成新度</v>
      </c>
      <c r="R33" s="774" t="s">
        <v>17</v>
      </c>
      <c r="S33" s="775" t="e">
        <f t="shared" si="12"/>
        <v>#N/A</v>
      </c>
      <c r="T33" s="774" t="s">
        <v>17</v>
      </c>
      <c r="U33" s="775" t="e">
        <f t="shared" si="13"/>
        <v>#N/A</v>
      </c>
      <c r="V33" s="774" t="s">
        <v>17</v>
      </c>
      <c r="W33" s="775" t="e">
        <f t="shared" si="14"/>
        <v>#N/A</v>
      </c>
      <c r="X33" s="1813"/>
      <c r="Y33" s="3220"/>
      <c r="Z33" s="1814" t="str">
        <f t="shared" si="15"/>
        <v>成新度</v>
      </c>
      <c r="AA33" s="1811" t="e">
        <f t="shared" si="3"/>
        <v>#N/A</v>
      </c>
      <c r="AB33" s="1811" t="e">
        <f t="shared" si="4"/>
        <v>#N/A</v>
      </c>
      <c r="AC33" s="1811"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20"/>
      <c r="Q34" s="1795"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20" t="s">
        <v>2553</v>
      </c>
      <c r="Q35" s="1810" t="str">
        <f t="shared" si="11"/>
        <v>市政基础设施</v>
      </c>
      <c r="R35" s="774" t="s">
        <v>17</v>
      </c>
      <c r="S35" s="775">
        <f t="shared" si="12"/>
        <v>100</v>
      </c>
      <c r="T35" s="774" t="s">
        <v>17</v>
      </c>
      <c r="U35" s="775">
        <f t="shared" si="13"/>
        <v>100</v>
      </c>
      <c r="V35" s="774" t="s">
        <v>17</v>
      </c>
      <c r="W35" s="775">
        <f t="shared" si="14"/>
        <v>100</v>
      </c>
      <c r="X35" s="1813"/>
      <c r="Y35" s="3220"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20"/>
      <c r="Q36" s="1810" t="str">
        <f t="shared" si="11"/>
        <v>内部装修</v>
      </c>
      <c r="R36" s="774" t="s">
        <v>17</v>
      </c>
      <c r="S36" s="775">
        <f t="shared" si="12"/>
        <v>100</v>
      </c>
      <c r="T36" s="774" t="s">
        <v>17</v>
      </c>
      <c r="U36" s="775">
        <f t="shared" si="13"/>
        <v>100</v>
      </c>
      <c r="V36" s="774" t="s">
        <v>17</v>
      </c>
      <c r="W36" s="775">
        <f t="shared" si="14"/>
        <v>100</v>
      </c>
      <c r="X36" s="1813"/>
      <c r="Y36" s="3220"/>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20"/>
      <c r="Q37" s="1810" t="str">
        <f t="shared" si="11"/>
        <v>内部装修状况</v>
      </c>
      <c r="R37" s="774" t="s">
        <v>17</v>
      </c>
      <c r="S37" s="775">
        <f t="shared" si="12"/>
        <v>100</v>
      </c>
      <c r="T37" s="774" t="s">
        <v>17</v>
      </c>
      <c r="U37" s="775">
        <f t="shared" si="13"/>
        <v>100</v>
      </c>
      <c r="V37" s="774" t="s">
        <v>17</v>
      </c>
      <c r="W37" s="775">
        <f t="shared" si="14"/>
        <v>100</v>
      </c>
      <c r="X37" s="1813"/>
      <c r="Y37" s="3220"/>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20"/>
      <c r="Q39" s="1810">
        <f t="shared" si="11"/>
        <v>111</v>
      </c>
      <c r="R39" s="774" t="s">
        <v>17</v>
      </c>
      <c r="S39" s="775">
        <f t="shared" si="12"/>
        <v>100</v>
      </c>
      <c r="T39" s="774" t="s">
        <v>17</v>
      </c>
      <c r="U39" s="775">
        <f t="shared" si="13"/>
        <v>100</v>
      </c>
      <c r="V39" s="774" t="s">
        <v>17</v>
      </c>
      <c r="W39" s="775">
        <f t="shared" si="14"/>
        <v>100</v>
      </c>
      <c r="X39" s="1813"/>
      <c r="Y39" s="3220"/>
      <c r="Z39" s="1814">
        <f t="shared" si="15"/>
        <v>111</v>
      </c>
      <c r="AA39" s="1811">
        <f t="shared" si="3"/>
        <v>1</v>
      </c>
      <c r="AB39" s="1811">
        <f t="shared" si="4"/>
        <v>1</v>
      </c>
      <c r="AC39" s="1811">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21"/>
      <c r="Q40" s="1810">
        <f t="shared" si="11"/>
        <v>111</v>
      </c>
      <c r="R40" s="774" t="s">
        <v>17</v>
      </c>
      <c r="S40" s="775">
        <f t="shared" si="12"/>
        <v>100</v>
      </c>
      <c r="T40" s="774" t="s">
        <v>17</v>
      </c>
      <c r="U40" s="775">
        <f t="shared" si="13"/>
        <v>100</v>
      </c>
      <c r="V40" s="774" t="s">
        <v>17</v>
      </c>
      <c r="W40" s="775">
        <f t="shared" si="14"/>
        <v>100</v>
      </c>
      <c r="X40" s="1813"/>
      <c r="Y40" s="3221"/>
      <c r="Z40" s="1814">
        <f t="shared" si="15"/>
        <v>111</v>
      </c>
      <c r="AA40" s="1811">
        <f t="shared" si="3"/>
        <v>1</v>
      </c>
      <c r="AB40" s="1811">
        <f t="shared" si="4"/>
        <v>1</v>
      </c>
      <c r="AC40" s="1811">
        <f t="shared" si="5"/>
        <v>1</v>
      </c>
    </row>
    <row r="41" spans="1:29" ht="15">
      <c r="A41" s="479" t="s">
        <v>2565</v>
      </c>
      <c r="B41" s="480"/>
      <c r="C41" s="1408" t="s">
        <v>1</v>
      </c>
      <c r="D41" s="1409"/>
      <c r="E41" s="1410"/>
      <c r="F41" s="1411"/>
      <c r="G41" s="1412"/>
      <c r="H41" s="1413"/>
      <c r="I41" s="1410"/>
      <c r="J41" s="1413"/>
      <c r="K41" s="783"/>
      <c r="L41" s="1144"/>
      <c r="M41" s="1145"/>
      <c r="N41" s="1132"/>
      <c r="O41" s="1145"/>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2657</v>
      </c>
      <c r="B42" s="487"/>
      <c r="C42" s="1414" t="e">
        <f>R43</f>
        <v>#DIV/0!</v>
      </c>
      <c r="D42" s="1415"/>
      <c r="E42" s="1416" t="e">
        <f>R42</f>
        <v>#DIV/0!</v>
      </c>
      <c r="F42" s="1416"/>
      <c r="G42" s="1414" t="e">
        <f>T42</f>
        <v>#DIV/0!</v>
      </c>
      <c r="H42" s="1415"/>
      <c r="I42" s="1416" t="e">
        <f>V42</f>
        <v>#DIV/0!</v>
      </c>
      <c r="J42" s="1415"/>
      <c r="K42" s="784"/>
      <c r="L42" s="1144"/>
      <c r="M42" s="1145"/>
      <c r="N42" s="1132"/>
      <c r="O42" s="1145"/>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2658</v>
      </c>
      <c r="B43" s="493"/>
      <c r="C43" s="1418" t="e">
        <f>R43</f>
        <v>#DIV/0!</v>
      </c>
      <c r="D43" s="1418"/>
      <c r="E43" s="1418"/>
      <c r="F43" s="1418"/>
      <c r="G43" s="1418"/>
      <c r="H43" s="1418"/>
      <c r="I43" s="1418"/>
      <c r="J43" s="1418"/>
      <c r="K43" s="785"/>
      <c r="L43" s="1144"/>
      <c r="M43" s="1145"/>
      <c r="N43" s="1145"/>
      <c r="O43" s="1145"/>
      <c r="P43" s="3257" t="str">
        <f>A43</f>
        <v>估价对象XX用房的比较价值（楼面单价，元/平方米）</v>
      </c>
      <c r="Q43" s="3258"/>
      <c r="R43" s="3259" t="e">
        <f>IF(F1="售价",ROUND(AVERAGE(R42:V42),0),ROUND(AVERAGE(R42:V42),1))</f>
        <v>#DIV/0!</v>
      </c>
      <c r="S43" s="3259"/>
      <c r="T43" s="3259"/>
      <c r="U43" s="3259"/>
      <c r="V43" s="3259"/>
      <c r="W43" s="3259"/>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2662</v>
      </c>
      <c r="B51" s="759"/>
      <c r="C51" s="764"/>
      <c r="D51" s="764"/>
      <c r="E51" s="764"/>
      <c r="F51" s="765"/>
      <c r="G51" s="765"/>
      <c r="H51" s="764"/>
      <c r="I51" s="764"/>
      <c r="J51" s="764"/>
      <c r="K51" s="1161"/>
      <c r="L51" s="1162"/>
      <c r="M51" s="1160"/>
      <c r="N51" s="1160"/>
      <c r="O51" s="1160"/>
      <c r="P51" s="503"/>
      <c r="Q51" s="504"/>
    </row>
    <row r="52" spans="1:17" s="508" customFormat="1" ht="15">
      <c r="A52" s="505" t="s">
        <v>2536</v>
      </c>
      <c r="B52" s="506"/>
      <c r="C52" s="1574" t="str">
        <f>YEAR(C7)&amp;"-"&amp;MONTH(C7)</f>
        <v>2018-7</v>
      </c>
      <c r="D52" s="1575">
        <f>EDATE(C52,-1)</f>
        <v>43252</v>
      </c>
      <c r="E52" s="1575">
        <f t="shared" ref="E52:O52" si="16">EDATE(D52,-1)</f>
        <v>43221</v>
      </c>
      <c r="F52" s="1575">
        <f t="shared" si="16"/>
        <v>43191</v>
      </c>
      <c r="G52" s="1575">
        <f t="shared" si="16"/>
        <v>43160</v>
      </c>
      <c r="H52" s="1575">
        <f t="shared" si="16"/>
        <v>43132</v>
      </c>
      <c r="I52" s="1575">
        <f t="shared" si="16"/>
        <v>43101</v>
      </c>
      <c r="J52" s="1575">
        <f t="shared" si="16"/>
        <v>43070</v>
      </c>
      <c r="K52" s="1575">
        <f t="shared" si="16"/>
        <v>43040</v>
      </c>
      <c r="L52" s="1575">
        <f t="shared" si="16"/>
        <v>43009</v>
      </c>
      <c r="M52" s="1575">
        <f t="shared" si="16"/>
        <v>42979</v>
      </c>
      <c r="N52" s="1575">
        <f t="shared" si="16"/>
        <v>42948</v>
      </c>
      <c r="O52" s="1575">
        <f t="shared" si="16"/>
        <v>42917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2576</v>
      </c>
      <c r="B57" s="528" t="s">
        <v>2542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25"/>
      <c r="B87" s="569"/>
      <c r="C87" s="570"/>
      <c r="D87" s="570"/>
      <c r="E87" s="570"/>
      <c r="F87" s="570"/>
      <c r="G87" s="591"/>
      <c r="H87" s="591"/>
      <c r="I87" s="591"/>
      <c r="J87" s="591"/>
      <c r="K87" s="591"/>
      <c r="L87" s="591"/>
      <c r="M87" s="592"/>
      <c r="N87" s="1154"/>
      <c r="O87" s="1154"/>
      <c r="P87" s="45"/>
      <c r="Q87" s="504"/>
    </row>
    <row r="88" spans="1:17">
      <c r="A88" s="527" t="s">
        <v>2551</v>
      </c>
      <c r="B88" s="528" t="s">
        <v>2600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2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1611</v>
      </c>
    </row>
    <row r="2" spans="1:1">
      <c r="A2" s="1946"/>
    </row>
    <row r="3" spans="1:1" ht="18">
      <c r="A3" s="1947" t="str">
        <f>项目基本情况!B5&amp;"："</f>
        <v>北京华新电工设备有限公司：</v>
      </c>
    </row>
    <row r="4" spans="1:1" ht="36">
      <c r="A4" s="1948" t="str">
        <f>"受贵公司委托，我公司对"&amp;项目基本情况!S1&amp;"进行了预评估。"</f>
        <v>受贵公司委托，我公司对北京市丰台区海鹰路6号院28号楼房地产抵押价值进行了预评估。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1" ht="57.75">
      <c r="A8" s="1951" t="s">
        <v>1614</v>
      </c>
    </row>
    <row r="9" spans="1:1" ht="18.75">
      <c r="A9" s="1950" t="s">
        <v>1615</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为估价委托人在向北京邮储银行顺义支行办理贷款手续过程中，确定房地产抵押贷款额度提供参考依据而评估房地产抵押价值。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2018年7月12日（评估专业人员实地查勘之日）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12日，估价对象规划用途为车间，土地取得方式为出让，出让国有建设用地使用权剩余土地使用年限为车间36.95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间，实际开发程度为宗地红线外“五通”（即通路、通电、通讯、通上水、通下水）、红线内场地平整条件下，剩余土地使用年限为车间36.95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22"/>
      <c r="F1" s="2573"/>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9" t="e">
        <f ca="1">IF(C2="——",IF(B37="元/平方米",ROUND(C39*D3/10000,0),ROUND(F3*C39/10000,0)),IF(B37="元/平方米",ROUND(C39*D3/10000,0),ROUND(F3*C39/10000,0))-D2)</f>
        <v>#DIV/0!</v>
      </c>
      <c r="C2" s="2575"/>
      <c r="D2" s="1125" t="e">
        <f ca="1">SUMIF(INDIRECT("'"&amp;F2&amp;"'"&amp;"!A:A"),"承租人权益价值",INDIRECT("'"&amp;F2&amp;"'"&amp;"!c:c"))</f>
        <v>#REF!</v>
      </c>
      <c r="E2" s="2576" t="s">
        <v>2316</v>
      </c>
      <c r="F2" s="2577"/>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2633</v>
      </c>
      <c r="B4" s="402"/>
      <c r="C4" s="3197" t="s">
        <v>2634</v>
      </c>
      <c r="D4" s="3198"/>
      <c r="E4" s="3199" t="s">
        <v>2635</v>
      </c>
      <c r="F4" s="3200"/>
      <c r="G4" s="3197" t="s">
        <v>2636</v>
      </c>
      <c r="H4" s="3198"/>
      <c r="I4" s="3197" t="s">
        <v>2637</v>
      </c>
      <c r="J4" s="3198"/>
      <c r="K4" s="610" t="s">
        <v>2638</v>
      </c>
      <c r="L4" s="1131"/>
      <c r="M4" s="1132"/>
      <c r="N4" s="1132"/>
      <c r="O4" s="1132"/>
      <c r="P4" s="3253" t="s">
        <v>2639</v>
      </c>
      <c r="Q4" s="3254"/>
      <c r="R4" s="3250" t="s">
        <v>2635</v>
      </c>
      <c r="S4" s="3251"/>
      <c r="T4" s="3250" t="s">
        <v>2636</v>
      </c>
      <c r="U4" s="3251"/>
      <c r="V4" s="3210" t="s">
        <v>2637</v>
      </c>
      <c r="W4" s="3210"/>
      <c r="X4" s="1813"/>
      <c r="Y4" s="3250" t="s">
        <v>2639</v>
      </c>
      <c r="Z4" s="3251"/>
      <c r="AA4" s="3249" t="s">
        <v>2635</v>
      </c>
      <c r="AB4" s="3175" t="s">
        <v>2636</v>
      </c>
      <c r="AC4" s="3249" t="s">
        <v>2637</v>
      </c>
    </row>
    <row r="5" spans="1:29" ht="15">
      <c r="A5" s="404"/>
      <c r="B5" s="405"/>
      <c r="C5" s="3189" t="s">
        <v>2530</v>
      </c>
      <c r="D5" s="3186"/>
      <c r="E5" s="3252" t="s">
        <v>2531</v>
      </c>
      <c r="F5" s="3184"/>
      <c r="G5" s="3189" t="s">
        <v>2532</v>
      </c>
      <c r="H5" s="3186"/>
      <c r="I5" s="3189" t="s">
        <v>2533</v>
      </c>
      <c r="J5" s="3186"/>
      <c r="K5" s="610"/>
      <c r="L5" s="1131"/>
      <c r="M5" s="1132"/>
      <c r="N5" s="1132"/>
      <c r="O5" s="1132"/>
      <c r="P5" s="3255"/>
      <c r="Q5" s="3204"/>
      <c r="R5" s="3181"/>
      <c r="S5" s="3182"/>
      <c r="T5" s="3181"/>
      <c r="U5" s="3182"/>
      <c r="V5" s="3210"/>
      <c r="W5" s="3210"/>
      <c r="X5" s="1813"/>
      <c r="Y5" s="3181"/>
      <c r="Z5" s="3182"/>
      <c r="AA5" s="3175"/>
      <c r="AB5" s="3175"/>
      <c r="AC5" s="3175"/>
    </row>
    <row r="6" spans="1:29" ht="15.75" thickBot="1">
      <c r="A6" s="406"/>
      <c r="B6" s="407"/>
      <c r="C6" s="3192" t="s">
        <v>2534</v>
      </c>
      <c r="D6" s="3188"/>
      <c r="E6" s="3190" t="s">
        <v>2534</v>
      </c>
      <c r="F6" s="3191"/>
      <c r="G6" s="3192" t="s">
        <v>2534</v>
      </c>
      <c r="H6" s="3188"/>
      <c r="I6" s="3192" t="s">
        <v>2534</v>
      </c>
      <c r="J6" s="3188"/>
      <c r="K6" s="610" t="s">
        <v>2535</v>
      </c>
      <c r="L6" s="1131"/>
      <c r="M6" s="1132"/>
      <c r="N6" s="1132"/>
      <c r="O6" s="1132"/>
      <c r="P6" s="3256"/>
      <c r="Q6" s="3206"/>
      <c r="R6" s="3181"/>
      <c r="S6" s="3182"/>
      <c r="T6" s="3207"/>
      <c r="U6" s="3208"/>
      <c r="V6" s="3210"/>
      <c r="W6" s="3210"/>
      <c r="X6" s="1813"/>
      <c r="Y6" s="3207"/>
      <c r="Z6" s="3208"/>
      <c r="AA6" s="3176"/>
      <c r="AB6" s="3176"/>
      <c r="AC6" s="3176"/>
    </row>
    <row r="7" spans="1:29" s="117" customFormat="1" ht="15.75" thickBot="1">
      <c r="A7" s="408" t="s">
        <v>2536</v>
      </c>
      <c r="B7" s="409"/>
      <c r="C7" s="410">
        <f>'数据-取费表'!B2</f>
        <v>43293</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77" t="s">
        <v>2537</v>
      </c>
      <c r="Q7" s="3212"/>
      <c r="R7" s="770" t="s">
        <v>17</v>
      </c>
      <c r="S7" s="771">
        <f t="shared" ref="S7:S14" si="0">F7</f>
        <v>0</v>
      </c>
      <c r="T7" s="770" t="s">
        <v>17</v>
      </c>
      <c r="U7" s="771">
        <f t="shared" ref="U7:U14" si="1">H7</f>
        <v>0</v>
      </c>
      <c r="V7" s="770" t="s">
        <v>17</v>
      </c>
      <c r="W7" s="771">
        <f t="shared" ref="W7:W14" si="2">J7</f>
        <v>0</v>
      </c>
      <c r="X7" s="772"/>
      <c r="Y7" s="3177" t="s">
        <v>2537</v>
      </c>
      <c r="Z7" s="3178"/>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77" t="s">
        <v>2540</v>
      </c>
      <c r="Q8" s="3178"/>
      <c r="R8" s="770" t="s">
        <v>17</v>
      </c>
      <c r="S8" s="771">
        <f t="shared" si="0"/>
        <v>0</v>
      </c>
      <c r="T8" s="770" t="s">
        <v>17</v>
      </c>
      <c r="U8" s="771">
        <f t="shared" si="1"/>
        <v>0</v>
      </c>
      <c r="V8" s="770" t="s">
        <v>17</v>
      </c>
      <c r="W8" s="771">
        <f t="shared" si="2"/>
        <v>0</v>
      </c>
      <c r="X8" s="772"/>
      <c r="Y8" s="3177" t="s">
        <v>2540</v>
      </c>
      <c r="Z8" s="3178"/>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22" t="s">
        <v>2543</v>
      </c>
      <c r="Q9" s="1795" t="str">
        <f t="shared" ref="Q9:Q14" si="6">B9</f>
        <v>用途</v>
      </c>
      <c r="R9" s="770" t="s">
        <v>17</v>
      </c>
      <c r="S9" s="771">
        <f t="shared" si="0"/>
        <v>100</v>
      </c>
      <c r="T9" s="770" t="s">
        <v>17</v>
      </c>
      <c r="U9" s="771">
        <f t="shared" si="1"/>
        <v>100</v>
      </c>
      <c r="V9" s="770" t="s">
        <v>17</v>
      </c>
      <c r="W9" s="771">
        <f t="shared" si="2"/>
        <v>100</v>
      </c>
      <c r="X9" s="772"/>
      <c r="Y9" s="3046"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22"/>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22"/>
      <c r="Q11" s="1795">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22"/>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22"/>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85.25">
      <c r="A14" s="401" t="s">
        <v>2547</v>
      </c>
      <c r="B14" s="629" t="s">
        <v>2697</v>
      </c>
      <c r="C14" s="2682"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15" t="s">
        <v>2548</v>
      </c>
      <c r="Q14" s="1810" t="str">
        <f t="shared" si="6"/>
        <v>交通便捷度</v>
      </c>
      <c r="R14" s="774" t="s">
        <v>17</v>
      </c>
      <c r="S14" s="775">
        <f t="shared" si="0"/>
        <v>100</v>
      </c>
      <c r="T14" s="774" t="s">
        <v>17</v>
      </c>
      <c r="U14" s="775">
        <f t="shared" si="1"/>
        <v>100</v>
      </c>
      <c r="V14" s="774" t="s">
        <v>17</v>
      </c>
      <c r="W14" s="775">
        <f t="shared" si="2"/>
        <v>100</v>
      </c>
      <c r="X14" s="1813"/>
      <c r="Y14" s="3215"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16"/>
      <c r="Q15" s="1810"/>
      <c r="R15" s="774"/>
      <c r="S15" s="775"/>
      <c r="T15" s="774"/>
      <c r="U15" s="775"/>
      <c r="V15" s="774"/>
      <c r="W15" s="775"/>
      <c r="X15" s="1813"/>
      <c r="Y15" s="3216"/>
      <c r="Z15" s="1814"/>
      <c r="AA15" s="1811">
        <v>1</v>
      </c>
      <c r="AB15" s="1811">
        <v>1</v>
      </c>
      <c r="AC15" s="1811">
        <v>1</v>
      </c>
    </row>
    <row r="16" spans="1:29" ht="213.75">
      <c r="A16" s="404"/>
      <c r="B16" s="631" t="s">
        <v>2676</v>
      </c>
      <c r="C16" s="2596"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16"/>
      <c r="Q16" s="1810" t="str">
        <f>B16</f>
        <v>公共配套设施</v>
      </c>
      <c r="R16" s="774" t="s">
        <v>17</v>
      </c>
      <c r="S16" s="775">
        <f>F16</f>
        <v>100</v>
      </c>
      <c r="T16" s="774" t="s">
        <v>17</v>
      </c>
      <c r="U16" s="775">
        <f>H16</f>
        <v>100</v>
      </c>
      <c r="V16" s="774" t="s">
        <v>17</v>
      </c>
      <c r="W16" s="775">
        <f>J16</f>
        <v>100</v>
      </c>
      <c r="X16" s="1813"/>
      <c r="Y16" s="3216"/>
      <c r="Z16" s="1814" t="str">
        <f>Q16</f>
        <v>公共配套设施</v>
      </c>
      <c r="AA16" s="1811">
        <f t="shared" si="3"/>
        <v>1</v>
      </c>
      <c r="AB16" s="1811">
        <f t="shared" si="4"/>
        <v>1</v>
      </c>
      <c r="AC16" s="1811">
        <f t="shared" si="5"/>
        <v>1</v>
      </c>
    </row>
    <row r="17" spans="1:29" ht="15">
      <c r="A17" s="404"/>
      <c r="B17" s="632"/>
      <c r="C17" s="2597"/>
      <c r="D17" s="448"/>
      <c r="E17" s="447"/>
      <c r="F17" s="449"/>
      <c r="G17" s="447"/>
      <c r="H17" s="448"/>
      <c r="I17" s="447"/>
      <c r="J17" s="448"/>
      <c r="K17" s="615"/>
      <c r="L17" s="1141"/>
      <c r="M17" s="1132"/>
      <c r="N17" s="1132"/>
      <c r="O17" s="1132"/>
      <c r="P17" s="3216"/>
      <c r="Q17" s="1810"/>
      <c r="R17" s="774"/>
      <c r="S17" s="775"/>
      <c r="T17" s="774"/>
      <c r="U17" s="775"/>
      <c r="V17" s="774"/>
      <c r="W17" s="775"/>
      <c r="X17" s="1813"/>
      <c r="Y17" s="3216"/>
      <c r="Z17" s="1814"/>
      <c r="AA17" s="1811">
        <v>1</v>
      </c>
      <c r="AB17" s="1811">
        <v>1</v>
      </c>
      <c r="AC17" s="1811">
        <v>1</v>
      </c>
    </row>
    <row r="18" spans="1:29" ht="42.75">
      <c r="A18" s="404"/>
      <c r="B18" s="633" t="s">
        <v>2677</v>
      </c>
      <c r="C18" s="2596"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16"/>
      <c r="Q18" s="1810" t="str">
        <f>B18</f>
        <v>基础设施水平</v>
      </c>
      <c r="R18" s="774" t="s">
        <v>17</v>
      </c>
      <c r="S18" s="775">
        <f>F18</f>
        <v>100</v>
      </c>
      <c r="T18" s="774" t="s">
        <v>17</v>
      </c>
      <c r="U18" s="775">
        <f>H18</f>
        <v>100</v>
      </c>
      <c r="V18" s="774" t="s">
        <v>17</v>
      </c>
      <c r="W18" s="775">
        <f>J18</f>
        <v>100</v>
      </c>
      <c r="X18" s="1813"/>
      <c r="Y18" s="3216"/>
      <c r="Z18" s="1814" t="str">
        <f>Q18</f>
        <v>基础设施水平</v>
      </c>
      <c r="AA18" s="1811">
        <f t="shared" ref="AA18" si="8">D18/F18</f>
        <v>1</v>
      </c>
      <c r="AB18" s="1811">
        <f t="shared" ref="AB18" si="9">D18/H18</f>
        <v>1</v>
      </c>
      <c r="AC18" s="1811">
        <f t="shared" ref="AC18" si="10">D18/J18</f>
        <v>1</v>
      </c>
    </row>
    <row r="19" spans="1:29" ht="15">
      <c r="A19" s="404"/>
      <c r="B19" s="633"/>
      <c r="C19" s="2597"/>
      <c r="D19" s="450"/>
      <c r="E19" s="2597"/>
      <c r="F19" s="453"/>
      <c r="G19" s="2597"/>
      <c r="H19" s="448"/>
      <c r="I19" s="447"/>
      <c r="J19" s="448"/>
      <c r="K19" s="1384"/>
      <c r="L19" s="1141"/>
      <c r="M19" s="1132"/>
      <c r="N19" s="1132"/>
      <c r="O19" s="1132"/>
      <c r="P19" s="3216"/>
      <c r="Q19" s="1810"/>
      <c r="R19" s="774"/>
      <c r="S19" s="775"/>
      <c r="T19" s="774"/>
      <c r="U19" s="775"/>
      <c r="V19" s="774"/>
      <c r="W19" s="775"/>
      <c r="X19" s="1813"/>
      <c r="Y19" s="3216"/>
      <c r="Z19" s="1814"/>
      <c r="AA19" s="1811">
        <v>1</v>
      </c>
      <c r="AB19" s="1811">
        <v>1</v>
      </c>
      <c r="AC19" s="1811">
        <v>1</v>
      </c>
    </row>
    <row r="20" spans="1:29" ht="85.5">
      <c r="A20" s="404"/>
      <c r="B20" s="631" t="s">
        <v>2698</v>
      </c>
      <c r="C20" s="2596" t="str">
        <f>IF(B1="工业",估价对象房地状况!G7,估价对象房地状况!C9)</f>
        <v>估价对象周边人文环境一般；有御康公园，自然环境一般；综合评价环境状况一般。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16"/>
      <c r="Q20" s="1810" t="str">
        <f>B20</f>
        <v>自然及人文环境</v>
      </c>
      <c r="R20" s="774" t="s">
        <v>17</v>
      </c>
      <c r="S20" s="775">
        <f>F20</f>
        <v>100</v>
      </c>
      <c r="T20" s="774" t="s">
        <v>17</v>
      </c>
      <c r="U20" s="775">
        <f>H20</f>
        <v>100</v>
      </c>
      <c r="V20" s="774" t="s">
        <v>17</v>
      </c>
      <c r="W20" s="775">
        <f>J20</f>
        <v>100</v>
      </c>
      <c r="X20" s="1813"/>
      <c r="Y20" s="321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16"/>
      <c r="Q21" s="1810"/>
      <c r="R21" s="774"/>
      <c r="S21" s="775"/>
      <c r="T21" s="774"/>
      <c r="U21" s="775"/>
      <c r="V21" s="774"/>
      <c r="W21" s="775"/>
      <c r="X21" s="1813"/>
      <c r="Y21" s="3216"/>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16"/>
      <c r="Q22" s="1810" t="str">
        <f>B22</f>
        <v>楼层</v>
      </c>
      <c r="R22" s="774" t="s">
        <v>17</v>
      </c>
      <c r="S22" s="775">
        <f>F22</f>
        <v>100</v>
      </c>
      <c r="T22" s="774" t="s">
        <v>17</v>
      </c>
      <c r="U22" s="775">
        <f>H22</f>
        <v>100</v>
      </c>
      <c r="V22" s="774" t="s">
        <v>17</v>
      </c>
      <c r="W22" s="775">
        <f>J22</f>
        <v>100</v>
      </c>
      <c r="X22" s="1813"/>
      <c r="Y22" s="321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16"/>
      <c r="Q23" s="1810">
        <f>B23</f>
        <v>111</v>
      </c>
      <c r="R23" s="774" t="s">
        <v>17</v>
      </c>
      <c r="S23" s="775">
        <f>F23</f>
        <v>100</v>
      </c>
      <c r="T23" s="774" t="s">
        <v>17</v>
      </c>
      <c r="U23" s="775">
        <f>H23</f>
        <v>100</v>
      </c>
      <c r="V23" s="774" t="s">
        <v>17</v>
      </c>
      <c r="W23" s="775">
        <f>J23</f>
        <v>100</v>
      </c>
      <c r="X23" s="1813"/>
      <c r="Y23" s="321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16"/>
      <c r="Q24" s="1810">
        <f t="shared" ref="Q24:Q36" si="11">B24</f>
        <v>111</v>
      </c>
      <c r="R24" s="774" t="s">
        <v>17</v>
      </c>
      <c r="S24" s="775">
        <f>F24</f>
        <v>100</v>
      </c>
      <c r="T24" s="774" t="s">
        <v>17</v>
      </c>
      <c r="U24" s="775">
        <f>H24</f>
        <v>100</v>
      </c>
      <c r="V24" s="774" t="s">
        <v>17</v>
      </c>
      <c r="W24" s="775">
        <f>J24</f>
        <v>100</v>
      </c>
      <c r="X24" s="1813"/>
      <c r="Y24" s="321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16"/>
      <c r="Q25" s="1795">
        <f t="shared" si="11"/>
        <v>111</v>
      </c>
      <c r="R25" s="770" t="s">
        <v>17</v>
      </c>
      <c r="S25" s="771">
        <f>F25</f>
        <v>100</v>
      </c>
      <c r="T25" s="770" t="s">
        <v>17</v>
      </c>
      <c r="U25" s="771">
        <f>H25</f>
        <v>100</v>
      </c>
      <c r="V25" s="770" t="s">
        <v>17</v>
      </c>
      <c r="W25" s="771">
        <f>J25</f>
        <v>100</v>
      </c>
      <c r="X25" s="772"/>
      <c r="Y25" s="3216"/>
      <c r="Z25" s="55">
        <f>Q25</f>
        <v>111</v>
      </c>
      <c r="AA25" s="1811">
        <f>D25/F25</f>
        <v>1</v>
      </c>
      <c r="AB25" s="1811">
        <f>D25/H25</f>
        <v>1</v>
      </c>
      <c r="AC25" s="1811">
        <f>D25/J25</f>
        <v>1</v>
      </c>
    </row>
    <row r="26" spans="1:29" ht="28.5">
      <c r="A26" s="652" t="s">
        <v>2551</v>
      </c>
      <c r="B26" s="70" t="s">
        <v>2700</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60"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0"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20"/>
      <c r="Q28" s="1810" t="str">
        <f t="shared" si="11"/>
        <v>公共部分装修</v>
      </c>
      <c r="R28" s="774" t="s">
        <v>17</v>
      </c>
      <c r="S28" s="775">
        <f t="shared" si="12"/>
        <v>100</v>
      </c>
      <c r="T28" s="774" t="s">
        <v>17</v>
      </c>
      <c r="U28" s="775">
        <f t="shared" si="13"/>
        <v>100</v>
      </c>
      <c r="V28" s="774" t="s">
        <v>17</v>
      </c>
      <c r="W28" s="775">
        <f t="shared" si="14"/>
        <v>100</v>
      </c>
      <c r="X28" s="1813"/>
      <c r="Y28" s="3220"/>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20"/>
      <c r="Q29" s="1810" t="str">
        <f t="shared" si="11"/>
        <v>成新率</v>
      </c>
      <c r="R29" s="774" t="s">
        <v>17</v>
      </c>
      <c r="S29" s="775" t="e">
        <f t="shared" si="12"/>
        <v>#N/A</v>
      </c>
      <c r="T29" s="774" t="s">
        <v>17</v>
      </c>
      <c r="U29" s="775" t="e">
        <f t="shared" si="13"/>
        <v>#N/A</v>
      </c>
      <c r="V29" s="774" t="s">
        <v>17</v>
      </c>
      <c r="W29" s="775" t="e">
        <f t="shared" si="14"/>
        <v>#N/A</v>
      </c>
      <c r="X29" s="1813"/>
      <c r="Y29" s="3220"/>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20"/>
      <c r="Q30" s="1810" t="str">
        <f t="shared" si="11"/>
        <v>物业等级</v>
      </c>
      <c r="R30" s="774" t="s">
        <v>17</v>
      </c>
      <c r="S30" s="775">
        <f t="shared" si="12"/>
        <v>100</v>
      </c>
      <c r="T30" s="774" t="s">
        <v>17</v>
      </c>
      <c r="U30" s="775">
        <f t="shared" si="13"/>
        <v>100</v>
      </c>
      <c r="V30" s="774" t="s">
        <v>17</v>
      </c>
      <c r="W30" s="775">
        <f t="shared" si="14"/>
        <v>100</v>
      </c>
      <c r="X30" s="1813"/>
      <c r="Y30" s="3220"/>
      <c r="Z30" s="1814" t="str">
        <f t="shared" si="15"/>
        <v>物业等级</v>
      </c>
      <c r="AA30" s="1811">
        <f t="shared" si="3"/>
        <v>1</v>
      </c>
      <c r="AB30" s="1811">
        <f t="shared" si="4"/>
        <v>1</v>
      </c>
      <c r="AC30" s="1811">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20"/>
      <c r="Q31" s="1795"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20" t="s">
        <v>2553</v>
      </c>
      <c r="Q32" s="1810" t="str">
        <f t="shared" si="11"/>
        <v>车位类型</v>
      </c>
      <c r="R32" s="774" t="s">
        <v>17</v>
      </c>
      <c r="S32" s="775">
        <f t="shared" si="12"/>
        <v>100</v>
      </c>
      <c r="T32" s="774" t="s">
        <v>17</v>
      </c>
      <c r="U32" s="775">
        <f t="shared" si="13"/>
        <v>100</v>
      </c>
      <c r="V32" s="774" t="s">
        <v>17</v>
      </c>
      <c r="W32" s="775">
        <f t="shared" si="14"/>
        <v>100</v>
      </c>
      <c r="X32" s="1813"/>
      <c r="Y32" s="3220"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20"/>
      <c r="Q33" s="1810" t="str">
        <f t="shared" si="11"/>
        <v>是否直接入户</v>
      </c>
      <c r="R33" s="774" t="s">
        <v>17</v>
      </c>
      <c r="S33" s="775">
        <f t="shared" si="12"/>
        <v>100</v>
      </c>
      <c r="T33" s="774" t="s">
        <v>17</v>
      </c>
      <c r="U33" s="775">
        <f t="shared" si="13"/>
        <v>100</v>
      </c>
      <c r="V33" s="774" t="s">
        <v>17</v>
      </c>
      <c r="W33" s="775">
        <f t="shared" si="14"/>
        <v>100</v>
      </c>
      <c r="X33" s="1813"/>
      <c r="Y33" s="322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20"/>
      <c r="Q34" s="1810">
        <f t="shared" si="11"/>
        <v>111</v>
      </c>
      <c r="R34" s="774" t="s">
        <v>17</v>
      </c>
      <c r="S34" s="775">
        <f t="shared" si="12"/>
        <v>100</v>
      </c>
      <c r="T34" s="774" t="s">
        <v>17</v>
      </c>
      <c r="U34" s="775">
        <f t="shared" si="13"/>
        <v>100</v>
      </c>
      <c r="V34" s="774" t="s">
        <v>17</v>
      </c>
      <c r="W34" s="775">
        <f t="shared" si="14"/>
        <v>100</v>
      </c>
      <c r="X34" s="1813"/>
      <c r="Y34" s="322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20"/>
      <c r="Q36" s="1810">
        <f t="shared" si="11"/>
        <v>111</v>
      </c>
      <c r="R36" s="774" t="s">
        <v>17</v>
      </c>
      <c r="S36" s="775">
        <f t="shared" si="12"/>
        <v>100</v>
      </c>
      <c r="T36" s="774" t="s">
        <v>17</v>
      </c>
      <c r="U36" s="775">
        <f t="shared" si="13"/>
        <v>100</v>
      </c>
      <c r="V36" s="774" t="s">
        <v>17</v>
      </c>
      <c r="W36" s="775">
        <f t="shared" si="14"/>
        <v>100</v>
      </c>
      <c r="X36" s="1813"/>
      <c r="Y36" s="3220"/>
      <c r="Z36" s="1814">
        <f t="shared" si="15"/>
        <v>111</v>
      </c>
      <c r="AA36" s="1811">
        <f t="shared" si="3"/>
        <v>1</v>
      </c>
      <c r="AB36" s="1811">
        <f t="shared" si="4"/>
        <v>1</v>
      </c>
      <c r="AC36" s="1811">
        <f t="shared" si="5"/>
        <v>1</v>
      </c>
    </row>
    <row r="37" spans="1:29" ht="15">
      <c r="A37" s="479" t="s">
        <v>2708</v>
      </c>
      <c r="B37" s="2684" t="s">
        <v>2709</v>
      </c>
      <c r="C37" s="1408" t="s">
        <v>1</v>
      </c>
      <c r="D37" s="1409"/>
      <c r="E37" s="1410"/>
      <c r="F37" s="1411"/>
      <c r="G37" s="1412"/>
      <c r="H37" s="1413"/>
      <c r="I37" s="1410"/>
      <c r="J37" s="1413"/>
      <c r="K37" s="619"/>
      <c r="L37" s="1144"/>
      <c r="M37" s="1145"/>
      <c r="N37" s="1132"/>
      <c r="O37" s="1145"/>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2710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2711</v>
      </c>
      <c r="B39" s="493"/>
      <c r="C39" s="1418" t="e">
        <f>R39</f>
        <v>#DIV/0!</v>
      </c>
      <c r="D39" s="1418"/>
      <c r="E39" s="1418"/>
      <c r="F39" s="1418"/>
      <c r="G39" s="1418"/>
      <c r="H39" s="1418"/>
      <c r="I39" s="1418"/>
      <c r="J39" s="1418"/>
      <c r="K39" s="621"/>
      <c r="L39" s="1144"/>
      <c r="M39" s="1145"/>
      <c r="N39" s="1145"/>
      <c r="O39" s="1145"/>
      <c r="P39" s="3257" t="str">
        <f>A39</f>
        <v>估价对象XX用房的比较价值（楼面单价，元/平方米）</v>
      </c>
      <c r="Q39" s="3258"/>
      <c r="R39" s="3259" t="e">
        <f>IF(F1="售价",ROUND(AVERAGE(R38:V38),0),ROUND(AVERAGE(R38:V38),1))</f>
        <v>#DIV/0!</v>
      </c>
      <c r="S39" s="3259"/>
      <c r="T39" s="3259"/>
      <c r="U39" s="3259"/>
      <c r="V39" s="3259"/>
      <c r="W39" s="3259"/>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2716</v>
      </c>
      <c r="B48" s="506"/>
      <c r="C48" s="1574" t="str">
        <f>YEAR(C7)&amp;"-"&amp;MONTH(C7)</f>
        <v>2018-7</v>
      </c>
      <c r="D48" s="1575">
        <f>EDATE(C48,-1)</f>
        <v>43252</v>
      </c>
      <c r="E48" s="1575">
        <f t="shared" ref="E48:O48" si="16">EDATE(D48,-1)</f>
        <v>43221</v>
      </c>
      <c r="F48" s="1575">
        <f t="shared" si="16"/>
        <v>43191</v>
      </c>
      <c r="G48" s="1575">
        <f t="shared" si="16"/>
        <v>43160</v>
      </c>
      <c r="H48" s="1575">
        <f t="shared" si="16"/>
        <v>43132</v>
      </c>
      <c r="I48" s="1575">
        <f t="shared" si="16"/>
        <v>43101</v>
      </c>
      <c r="J48" s="1575">
        <f t="shared" si="16"/>
        <v>43070</v>
      </c>
      <c r="K48" s="1575">
        <f t="shared" si="16"/>
        <v>43040</v>
      </c>
      <c r="L48" s="1575">
        <f t="shared" si="16"/>
        <v>43009</v>
      </c>
      <c r="M48" s="1575">
        <f t="shared" si="16"/>
        <v>42979</v>
      </c>
      <c r="N48" s="1575">
        <f t="shared" si="16"/>
        <v>42948</v>
      </c>
      <c r="O48" s="1575">
        <f t="shared" si="16"/>
        <v>42917</v>
      </c>
      <c r="P48" s="1439"/>
      <c r="Q48" s="1440"/>
      <c r="R48" s="1440"/>
      <c r="S48" s="1440"/>
      <c r="T48" s="1440"/>
      <c r="U48" s="1440"/>
      <c r="V48" s="1440"/>
      <c r="W48" s="1440"/>
      <c r="X48" s="1440"/>
      <c r="Y48" s="1440"/>
      <c r="Z48" s="1440"/>
      <c r="AA48" s="1440"/>
      <c r="AB48" s="1440"/>
      <c r="AC48" s="1440"/>
    </row>
    <row r="49" spans="1:29" s="117" customFormat="1" ht="15">
      <c r="A49" s="509"/>
      <c r="B49" s="510"/>
      <c r="C49" s="1566">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2573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2538</v>
      </c>
      <c r="B51" s="510"/>
      <c r="C51" s="522" t="s">
        <v>2640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2576</v>
      </c>
      <c r="B53" s="528" t="s">
        <v>2542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2591</v>
      </c>
      <c r="C65" s="578" t="s">
        <v>2585</v>
      </c>
      <c r="D65" s="578" t="s">
        <v>2586</v>
      </c>
      <c r="E65" s="578" t="s">
        <v>2587</v>
      </c>
      <c r="F65" s="578" t="s">
        <v>2588</v>
      </c>
      <c r="G65" s="578" t="s">
        <v>2589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2677</v>
      </c>
      <c r="C67" s="660" t="s">
        <v>2663</v>
      </c>
      <c r="D67" s="660" t="s">
        <v>2664</v>
      </c>
      <c r="E67" s="660" t="s">
        <v>2665</v>
      </c>
      <c r="F67" s="660" t="s">
        <v>2666</v>
      </c>
      <c r="G67" s="660" t="s">
        <v>2667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2597</v>
      </c>
      <c r="C69" s="578" t="s">
        <v>2585</v>
      </c>
      <c r="D69" s="578" t="s">
        <v>2586</v>
      </c>
      <c r="E69" s="578" t="s">
        <v>2587</v>
      </c>
      <c r="F69" s="578" t="s">
        <v>2588</v>
      </c>
      <c r="G69" s="578" t="s">
        <v>2589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2551</v>
      </c>
      <c r="B79" s="528" t="s">
        <v>2718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2604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2723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2724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30"/>
      <c r="F1" s="257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t="e">
        <f ca="1">IF(C2="——",ROUND(C37*D3/10000,0),ROUND(C37*D3/10000,0)-D2)</f>
        <v>#DIV/0!</v>
      </c>
      <c r="C2" s="2575"/>
      <c r="D2" s="1125" t="e">
        <f ca="1">SUMIF(INDIRECT("'"&amp;F2&amp;"'"&amp;"!A:A"),"承租人权益价值",INDIRECT("'"&amp;F2&amp;"'"&amp;"!c:c"))</f>
        <v>#REF!</v>
      </c>
      <c r="E2" s="2576" t="s">
        <v>2316</v>
      </c>
      <c r="F2" s="257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97" t="s">
        <v>2634</v>
      </c>
      <c r="D4" s="3198"/>
      <c r="E4" s="3199" t="s">
        <v>2635</v>
      </c>
      <c r="F4" s="3200"/>
      <c r="G4" s="3197" t="s">
        <v>2636</v>
      </c>
      <c r="H4" s="3198"/>
      <c r="I4" s="3197" t="s">
        <v>2637</v>
      </c>
      <c r="J4" s="3198"/>
      <c r="K4" s="610" t="s">
        <v>2638</v>
      </c>
      <c r="L4" s="1131"/>
      <c r="M4" s="1132"/>
      <c r="N4" s="1132"/>
      <c r="O4" s="1132"/>
      <c r="P4" s="3253" t="s">
        <v>2639</v>
      </c>
      <c r="Q4" s="3254"/>
      <c r="R4" s="3250" t="s">
        <v>2635</v>
      </c>
      <c r="S4" s="3251"/>
      <c r="T4" s="3250" t="s">
        <v>2636</v>
      </c>
      <c r="U4" s="3251"/>
      <c r="V4" s="3210" t="s">
        <v>2637</v>
      </c>
      <c r="W4" s="3210"/>
      <c r="X4" s="1813"/>
      <c r="Y4" s="3250" t="s">
        <v>2639</v>
      </c>
      <c r="Z4" s="3251"/>
      <c r="AA4" s="3249" t="s">
        <v>2635</v>
      </c>
      <c r="AB4" s="3175" t="s">
        <v>2636</v>
      </c>
      <c r="AC4" s="3249" t="s">
        <v>2637</v>
      </c>
    </row>
    <row r="5" spans="1:29" ht="15">
      <c r="A5" s="404"/>
      <c r="B5" s="405"/>
      <c r="C5" s="3189" t="s">
        <v>2530</v>
      </c>
      <c r="D5" s="3186"/>
      <c r="E5" s="3252" t="s">
        <v>2531</v>
      </c>
      <c r="F5" s="3184"/>
      <c r="G5" s="3189" t="s">
        <v>2532</v>
      </c>
      <c r="H5" s="3186"/>
      <c r="I5" s="3189" t="s">
        <v>2533</v>
      </c>
      <c r="J5" s="3186"/>
      <c r="K5" s="610"/>
      <c r="L5" s="1131"/>
      <c r="M5" s="1132"/>
      <c r="N5" s="1132"/>
      <c r="O5" s="1132"/>
      <c r="P5" s="3255"/>
      <c r="Q5" s="3204"/>
      <c r="R5" s="3181"/>
      <c r="S5" s="3182"/>
      <c r="T5" s="3181"/>
      <c r="U5" s="3182"/>
      <c r="V5" s="3210"/>
      <c r="W5" s="3210"/>
      <c r="X5" s="1813"/>
      <c r="Y5" s="3181"/>
      <c r="Z5" s="3182"/>
      <c r="AA5" s="3175"/>
      <c r="AB5" s="3175"/>
      <c r="AC5" s="3175"/>
    </row>
    <row r="6" spans="1:29" ht="15.75" thickBot="1">
      <c r="A6" s="406"/>
      <c r="B6" s="407"/>
      <c r="C6" s="3192" t="s">
        <v>2534</v>
      </c>
      <c r="D6" s="3188"/>
      <c r="E6" s="3190" t="s">
        <v>2534</v>
      </c>
      <c r="F6" s="3191"/>
      <c r="G6" s="3192" t="s">
        <v>2534</v>
      </c>
      <c r="H6" s="3188"/>
      <c r="I6" s="3192" t="s">
        <v>2534</v>
      </c>
      <c r="J6" s="3188"/>
      <c r="K6" s="610" t="s">
        <v>2535</v>
      </c>
      <c r="L6" s="1131"/>
      <c r="M6" s="1132"/>
      <c r="N6" s="1132"/>
      <c r="O6" s="1132"/>
      <c r="P6" s="3256"/>
      <c r="Q6" s="3206"/>
      <c r="R6" s="3181"/>
      <c r="S6" s="3182"/>
      <c r="T6" s="3207"/>
      <c r="U6" s="3208"/>
      <c r="V6" s="3210"/>
      <c r="W6" s="3210"/>
      <c r="X6" s="1813"/>
      <c r="Y6" s="3207"/>
      <c r="Z6" s="3208"/>
      <c r="AA6" s="3176"/>
      <c r="AB6" s="3176"/>
      <c r="AC6" s="3176"/>
    </row>
    <row r="7" spans="1:29" s="117" customFormat="1" ht="15.75" thickBot="1">
      <c r="A7" s="408" t="s">
        <v>2536</v>
      </c>
      <c r="B7" s="409"/>
      <c r="C7" s="410">
        <f>'数据-取费表'!B2</f>
        <v>43293</v>
      </c>
      <c r="D7" s="411">
        <v>100</v>
      </c>
      <c r="E7" s="412"/>
      <c r="F7" s="413">
        <f>SUMIF(46:46,YEAR(E7)&amp;"-"&amp;MONTH(E7),47:47)</f>
        <v>0</v>
      </c>
      <c r="G7" s="2685"/>
      <c r="H7" s="411">
        <f>SUMIF(46:46,YEAR(G7)&amp;"-"&amp;MONTH(G7),47:47)</f>
        <v>0</v>
      </c>
      <c r="I7" s="412"/>
      <c r="J7" s="411">
        <f>SUMIF(46:46,YEAR(I7)&amp;"-"&amp;MONTH(I7),47:47)</f>
        <v>0</v>
      </c>
      <c r="K7" s="611"/>
      <c r="L7" s="1133"/>
      <c r="M7" s="1134"/>
      <c r="N7" s="1134"/>
      <c r="O7" s="1134"/>
      <c r="P7" s="3177" t="s">
        <v>2537</v>
      </c>
      <c r="Q7" s="3212"/>
      <c r="R7" s="770" t="s">
        <v>17</v>
      </c>
      <c r="S7" s="771">
        <f t="shared" ref="S7:S14" si="0">F7</f>
        <v>0</v>
      </c>
      <c r="T7" s="770" t="s">
        <v>17</v>
      </c>
      <c r="U7" s="771">
        <f t="shared" ref="U7:U14" si="1">H7</f>
        <v>0</v>
      </c>
      <c r="V7" s="770" t="s">
        <v>17</v>
      </c>
      <c r="W7" s="771">
        <f t="shared" ref="W7:W14" si="2">J7</f>
        <v>0</v>
      </c>
      <c r="X7" s="772"/>
      <c r="Y7" s="3177" t="s">
        <v>2537</v>
      </c>
      <c r="Z7" s="3178"/>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77" t="s">
        <v>2540</v>
      </c>
      <c r="Q8" s="3178"/>
      <c r="R8" s="770" t="s">
        <v>17</v>
      </c>
      <c r="S8" s="771">
        <f t="shared" si="0"/>
        <v>0</v>
      </c>
      <c r="T8" s="770" t="s">
        <v>17</v>
      </c>
      <c r="U8" s="771">
        <f t="shared" si="1"/>
        <v>0</v>
      </c>
      <c r="V8" s="770" t="s">
        <v>17</v>
      </c>
      <c r="W8" s="771">
        <f t="shared" si="2"/>
        <v>0</v>
      </c>
      <c r="X8" s="772"/>
      <c r="Y8" s="3177" t="s">
        <v>2540</v>
      </c>
      <c r="Z8" s="3178"/>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22" t="s">
        <v>2543</v>
      </c>
      <c r="Q9" s="1795" t="str">
        <f t="shared" ref="Q9:Q14" si="6">B9</f>
        <v>用途</v>
      </c>
      <c r="R9" s="770" t="s">
        <v>17</v>
      </c>
      <c r="S9" s="771">
        <f t="shared" si="0"/>
        <v>100</v>
      </c>
      <c r="T9" s="770" t="s">
        <v>17</v>
      </c>
      <c r="U9" s="771">
        <f t="shared" si="1"/>
        <v>100</v>
      </c>
      <c r="V9" s="770" t="s">
        <v>17</v>
      </c>
      <c r="W9" s="771">
        <f t="shared" si="2"/>
        <v>100</v>
      </c>
      <c r="X9" s="772"/>
      <c r="Y9" s="3046"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22"/>
      <c r="Q10" s="1795"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22"/>
      <c r="Q11" s="1795">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22"/>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41"/>
      <c r="M13" s="1132"/>
      <c r="N13" s="1132"/>
      <c r="O13" s="1140"/>
      <c r="P13" s="3222"/>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85.25">
      <c r="A14" s="440" t="s">
        <v>2547</v>
      </c>
      <c r="B14" s="69" t="s">
        <v>2697</v>
      </c>
      <c r="C14" s="2682"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15" t="s">
        <v>2548</v>
      </c>
      <c r="Q14" s="1810" t="str">
        <f t="shared" si="6"/>
        <v>交通便捷度</v>
      </c>
      <c r="R14" s="774" t="s">
        <v>17</v>
      </c>
      <c r="S14" s="775">
        <f t="shared" si="0"/>
        <v>100</v>
      </c>
      <c r="T14" s="774" t="s">
        <v>17</v>
      </c>
      <c r="U14" s="775">
        <f t="shared" si="1"/>
        <v>100</v>
      </c>
      <c r="V14" s="774" t="s">
        <v>17</v>
      </c>
      <c r="W14" s="775">
        <f t="shared" si="2"/>
        <v>100</v>
      </c>
      <c r="X14" s="1813"/>
      <c r="Y14" s="3215"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16"/>
      <c r="Q15" s="1810"/>
      <c r="R15" s="774"/>
      <c r="S15" s="775"/>
      <c r="T15" s="774"/>
      <c r="U15" s="775"/>
      <c r="V15" s="774"/>
      <c r="W15" s="775"/>
      <c r="X15" s="1813"/>
      <c r="Y15" s="3216"/>
      <c r="Z15" s="1814"/>
      <c r="AA15" s="1811">
        <v>1</v>
      </c>
      <c r="AB15" s="1811">
        <v>1</v>
      </c>
      <c r="AC15" s="1811">
        <v>1</v>
      </c>
    </row>
    <row r="16" spans="1:29" ht="213.75">
      <c r="A16" s="428"/>
      <c r="B16" s="451" t="s">
        <v>2676</v>
      </c>
      <c r="C16" s="2596"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16"/>
      <c r="Q16" s="1810" t="str">
        <f>B16</f>
        <v>公共配套设施</v>
      </c>
      <c r="R16" s="774" t="s">
        <v>17</v>
      </c>
      <c r="S16" s="775">
        <f>F16</f>
        <v>100</v>
      </c>
      <c r="T16" s="774" t="s">
        <v>17</v>
      </c>
      <c r="U16" s="775">
        <f>H16</f>
        <v>100</v>
      </c>
      <c r="V16" s="774" t="s">
        <v>17</v>
      </c>
      <c r="W16" s="775">
        <f>J16</f>
        <v>100</v>
      </c>
      <c r="X16" s="1813"/>
      <c r="Y16" s="3216"/>
      <c r="Z16" s="1814" t="str">
        <f>Q16</f>
        <v>公共配套设施</v>
      </c>
      <c r="AA16" s="1811">
        <f t="shared" si="3"/>
        <v>1</v>
      </c>
      <c r="AB16" s="1811">
        <f t="shared" si="4"/>
        <v>1</v>
      </c>
      <c r="AC16" s="1811">
        <f t="shared" si="5"/>
        <v>1</v>
      </c>
    </row>
    <row r="17" spans="1:29" ht="15">
      <c r="A17" s="428"/>
      <c r="B17" s="456"/>
      <c r="C17" s="2597"/>
      <c r="D17" s="448"/>
      <c r="E17" s="447"/>
      <c r="F17" s="449"/>
      <c r="G17" s="447"/>
      <c r="H17" s="448"/>
      <c r="I17" s="447"/>
      <c r="J17" s="448"/>
      <c r="K17" s="615"/>
      <c r="L17" s="1141"/>
      <c r="M17" s="1132"/>
      <c r="N17" s="1132"/>
      <c r="O17" s="1140"/>
      <c r="P17" s="3216"/>
      <c r="Q17" s="1810"/>
      <c r="R17" s="774"/>
      <c r="S17" s="775"/>
      <c r="T17" s="774"/>
      <c r="U17" s="775"/>
      <c r="V17" s="774"/>
      <c r="W17" s="775"/>
      <c r="X17" s="1813"/>
      <c r="Y17" s="3216"/>
      <c r="Z17" s="1814"/>
      <c r="AA17" s="1811">
        <v>1</v>
      </c>
      <c r="AB17" s="1811">
        <v>1</v>
      </c>
      <c r="AC17" s="1811">
        <v>1</v>
      </c>
    </row>
    <row r="18" spans="1:29" ht="42.75">
      <c r="A18" s="428"/>
      <c r="B18" s="1385" t="s">
        <v>2677</v>
      </c>
      <c r="C18" s="2596"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16"/>
      <c r="Q18" s="1810" t="str">
        <f>B18</f>
        <v>基础设施水平</v>
      </c>
      <c r="R18" s="774" t="s">
        <v>17</v>
      </c>
      <c r="S18" s="775">
        <f>F18</f>
        <v>100</v>
      </c>
      <c r="T18" s="774" t="s">
        <v>17</v>
      </c>
      <c r="U18" s="775">
        <f>H18</f>
        <v>100</v>
      </c>
      <c r="V18" s="774" t="s">
        <v>17</v>
      </c>
      <c r="W18" s="775">
        <f>J18</f>
        <v>100</v>
      </c>
      <c r="X18" s="1813"/>
      <c r="Y18" s="3216"/>
      <c r="Z18" s="1814" t="str">
        <f>Q18</f>
        <v>基础设施水平</v>
      </c>
      <c r="AA18" s="1811">
        <f t="shared" ref="AA18" si="8">D18/F18</f>
        <v>1</v>
      </c>
      <c r="AB18" s="1811">
        <f t="shared" ref="AB18" si="9">D18/H18</f>
        <v>1</v>
      </c>
      <c r="AC18" s="1811">
        <f t="shared" ref="AC18" si="10">D18/J18</f>
        <v>1</v>
      </c>
    </row>
    <row r="19" spans="1:29" ht="15">
      <c r="A19" s="428"/>
      <c r="B19" s="1385"/>
      <c r="C19" s="2597"/>
      <c r="D19" s="450"/>
      <c r="E19" s="2597"/>
      <c r="F19" s="453"/>
      <c r="G19" s="2597"/>
      <c r="H19" s="448"/>
      <c r="I19" s="447"/>
      <c r="J19" s="448"/>
      <c r="K19" s="1384"/>
      <c r="L19" s="1141"/>
      <c r="M19" s="1132"/>
      <c r="N19" s="1132"/>
      <c r="O19" s="1140"/>
      <c r="P19" s="3216"/>
      <c r="Q19" s="1810"/>
      <c r="R19" s="774"/>
      <c r="S19" s="775"/>
      <c r="T19" s="774"/>
      <c r="U19" s="775"/>
      <c r="V19" s="774"/>
      <c r="W19" s="775"/>
      <c r="X19" s="1813"/>
      <c r="Y19" s="3216"/>
      <c r="Z19" s="1814"/>
      <c r="AA19" s="1811">
        <v>1</v>
      </c>
      <c r="AB19" s="1811">
        <v>1</v>
      </c>
      <c r="AC19" s="1811">
        <v>1</v>
      </c>
    </row>
    <row r="20" spans="1:29" ht="85.5">
      <c r="A20" s="428"/>
      <c r="B20" s="451" t="s">
        <v>2698</v>
      </c>
      <c r="C20" s="2596" t="str">
        <f>IF(B1="工业",估价对象房地状况!G7,估价对象房地状况!C9)</f>
        <v>估价对象周边人文环境一般；有御康公园，自然环境一般；综合评价环境状况一般。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16"/>
      <c r="Q20" s="1810" t="str">
        <f>B20</f>
        <v>自然及人文环境</v>
      </c>
      <c r="R20" s="774" t="s">
        <v>17</v>
      </c>
      <c r="S20" s="775">
        <f>F20</f>
        <v>100</v>
      </c>
      <c r="T20" s="774" t="s">
        <v>17</v>
      </c>
      <c r="U20" s="775">
        <f>H20</f>
        <v>100</v>
      </c>
      <c r="V20" s="774" t="s">
        <v>17</v>
      </c>
      <c r="W20" s="775">
        <f>J20</f>
        <v>100</v>
      </c>
      <c r="X20" s="1813"/>
      <c r="Y20" s="321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16"/>
      <c r="Q21" s="1810"/>
      <c r="R21" s="774"/>
      <c r="S21" s="775"/>
      <c r="T21" s="774"/>
      <c r="U21" s="775"/>
      <c r="V21" s="774"/>
      <c r="W21" s="775"/>
      <c r="X21" s="1813"/>
      <c r="Y21" s="3216"/>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16"/>
      <c r="Q22" s="1810" t="str">
        <f>B22</f>
        <v>楼层</v>
      </c>
      <c r="R22" s="774" t="s">
        <v>17</v>
      </c>
      <c r="S22" s="775">
        <f>F22</f>
        <v>100</v>
      </c>
      <c r="T22" s="774" t="s">
        <v>17</v>
      </c>
      <c r="U22" s="775">
        <f>H22</f>
        <v>100</v>
      </c>
      <c r="V22" s="774" t="s">
        <v>17</v>
      </c>
      <c r="W22" s="775">
        <f>J22</f>
        <v>100</v>
      </c>
      <c r="X22" s="1813"/>
      <c r="Y22" s="3216"/>
      <c r="Z22" s="1814" t="str">
        <f>Q22</f>
        <v>楼层</v>
      </c>
      <c r="AA22" s="1811">
        <f t="shared" si="3"/>
        <v>1</v>
      </c>
      <c r="AB22" s="1811">
        <f t="shared" si="4"/>
        <v>1</v>
      </c>
      <c r="AC22" s="1811">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16"/>
      <c r="Q23" s="1810">
        <f>B23</f>
        <v>111</v>
      </c>
      <c r="R23" s="774" t="s">
        <v>17</v>
      </c>
      <c r="S23" s="775">
        <f>F23</f>
        <v>100</v>
      </c>
      <c r="T23" s="774" t="s">
        <v>17</v>
      </c>
      <c r="U23" s="775">
        <f>H23</f>
        <v>100</v>
      </c>
      <c r="V23" s="774" t="s">
        <v>17</v>
      </c>
      <c r="W23" s="775">
        <f>J23</f>
        <v>100</v>
      </c>
      <c r="X23" s="1813"/>
      <c r="Y23" s="3216"/>
      <c r="Z23" s="1814">
        <f>Q23</f>
        <v>111</v>
      </c>
      <c r="AA23" s="1811">
        <f t="shared" si="3"/>
        <v>1</v>
      </c>
      <c r="AB23" s="1811">
        <f t="shared" si="4"/>
        <v>1</v>
      </c>
      <c r="AC23" s="1811">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16"/>
      <c r="Q24" s="1810">
        <f t="shared" ref="Q24:Q34" si="11">B24</f>
        <v>111</v>
      </c>
      <c r="R24" s="774" t="s">
        <v>17</v>
      </c>
      <c r="S24" s="775">
        <f>F24</f>
        <v>100</v>
      </c>
      <c r="T24" s="774" t="s">
        <v>17</v>
      </c>
      <c r="U24" s="775">
        <f>H24</f>
        <v>100</v>
      </c>
      <c r="V24" s="774" t="s">
        <v>17</v>
      </c>
      <c r="W24" s="775">
        <f>J24</f>
        <v>100</v>
      </c>
      <c r="X24" s="1813"/>
      <c r="Y24" s="3216"/>
      <c r="Z24" s="1814">
        <f>Q24</f>
        <v>111</v>
      </c>
      <c r="AA24" s="1811">
        <f t="shared" si="3"/>
        <v>1</v>
      </c>
      <c r="AB24" s="1811">
        <f t="shared" si="4"/>
        <v>1</v>
      </c>
      <c r="AC24" s="1811">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33"/>
      <c r="M25" s="1134"/>
      <c r="N25" s="1134"/>
      <c r="O25" s="1135"/>
      <c r="P25" s="3216"/>
      <c r="Q25" s="1795">
        <f t="shared" si="11"/>
        <v>111</v>
      </c>
      <c r="R25" s="770" t="s">
        <v>17</v>
      </c>
      <c r="S25" s="771">
        <f>F25</f>
        <v>100</v>
      </c>
      <c r="T25" s="770" t="s">
        <v>17</v>
      </c>
      <c r="U25" s="771">
        <f>H25</f>
        <v>100</v>
      </c>
      <c r="V25" s="770" t="s">
        <v>17</v>
      </c>
      <c r="W25" s="771">
        <f>J25</f>
        <v>100</v>
      </c>
      <c r="X25" s="772"/>
      <c r="Y25" s="3216"/>
      <c r="Z25" s="55">
        <f>Q25</f>
        <v>111</v>
      </c>
      <c r="AA25" s="1811">
        <f>D25/F25</f>
        <v>1</v>
      </c>
      <c r="AB25" s="1811">
        <f>D25/H25</f>
        <v>1</v>
      </c>
      <c r="AC25" s="1811">
        <f>D25/J25</f>
        <v>1</v>
      </c>
    </row>
    <row r="26" spans="1:29" ht="28.5">
      <c r="A26" s="466" t="s">
        <v>2551</v>
      </c>
      <c r="B26" s="71" t="s">
        <v>2702</v>
      </c>
      <c r="C26" s="2668"/>
      <c r="D26" s="467">
        <v>100</v>
      </c>
      <c r="E26" s="2668"/>
      <c r="F26" s="667">
        <f>SUMIF(77:77,E26,78:78)-SUMIF(77:77,C26,78:78)+100</f>
        <v>100</v>
      </c>
      <c r="G26" s="2668"/>
      <c r="H26" s="467">
        <f>SUMIF(77:77,G26,78:78)-SUMIF(77:77,C26,78:78)+100</f>
        <v>100</v>
      </c>
      <c r="I26" s="2668"/>
      <c r="J26" s="467">
        <f>SUMIF(77:77,I26,78:78)-SUMIF(77:77,C26,78:78)+100</f>
        <v>100</v>
      </c>
      <c r="K26" s="612"/>
      <c r="L26" s="1141"/>
      <c r="M26" s="1132"/>
      <c r="N26" s="1132"/>
      <c r="O26" s="1140"/>
      <c r="P26" s="3260"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0"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20"/>
      <c r="Q28" s="1810" t="str">
        <f t="shared" si="11"/>
        <v>物业等级</v>
      </c>
      <c r="R28" s="774" t="s">
        <v>17</v>
      </c>
      <c r="S28" s="775">
        <f t="shared" si="12"/>
        <v>100</v>
      </c>
      <c r="T28" s="774" t="s">
        <v>17</v>
      </c>
      <c r="U28" s="775">
        <f t="shared" si="13"/>
        <v>100</v>
      </c>
      <c r="V28" s="774" t="s">
        <v>17</v>
      </c>
      <c r="W28" s="775">
        <f t="shared" si="14"/>
        <v>100</v>
      </c>
      <c r="X28" s="1813"/>
      <c r="Y28" s="3220"/>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20"/>
      <c r="Q29" s="1810" t="str">
        <f t="shared" si="11"/>
        <v>有无电梯</v>
      </c>
      <c r="R29" s="774" t="s">
        <v>17</v>
      </c>
      <c r="S29" s="775">
        <f t="shared" si="12"/>
        <v>100</v>
      </c>
      <c r="T29" s="774" t="s">
        <v>17</v>
      </c>
      <c r="U29" s="775">
        <f t="shared" si="13"/>
        <v>100</v>
      </c>
      <c r="V29" s="774" t="s">
        <v>17</v>
      </c>
      <c r="W29" s="775">
        <f t="shared" si="14"/>
        <v>100</v>
      </c>
      <c r="X29" s="1813"/>
      <c r="Y29" s="3220"/>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20"/>
      <c r="Q30" s="1810" t="str">
        <f t="shared" si="11"/>
        <v>建筑面积</v>
      </c>
      <c r="R30" s="774" t="s">
        <v>17</v>
      </c>
      <c r="S30" s="775" t="e">
        <f t="shared" si="12"/>
        <v>#N/A</v>
      </c>
      <c r="T30" s="774" t="s">
        <v>17</v>
      </c>
      <c r="U30" s="775" t="e">
        <f t="shared" si="13"/>
        <v>#N/A</v>
      </c>
      <c r="V30" s="774" t="s">
        <v>17</v>
      </c>
      <c r="W30" s="775" t="e">
        <f t="shared" si="14"/>
        <v>#N/A</v>
      </c>
      <c r="X30" s="1813"/>
      <c r="Y30" s="3220"/>
      <c r="Z30" s="1814" t="str">
        <f t="shared" si="15"/>
        <v>建筑面积</v>
      </c>
      <c r="AA30" s="1811" t="e">
        <f t="shared" si="3"/>
        <v>#N/A</v>
      </c>
      <c r="AB30" s="1811" t="e">
        <f t="shared" si="4"/>
        <v>#N/A</v>
      </c>
      <c r="AC30" s="1811"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20"/>
      <c r="Q31" s="1795"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20" t="s">
        <v>2553</v>
      </c>
      <c r="Q32" s="1810">
        <f t="shared" si="11"/>
        <v>111</v>
      </c>
      <c r="R32" s="774" t="s">
        <v>17</v>
      </c>
      <c r="S32" s="775">
        <f t="shared" si="12"/>
        <v>100</v>
      </c>
      <c r="T32" s="774" t="s">
        <v>17</v>
      </c>
      <c r="U32" s="775">
        <f t="shared" si="13"/>
        <v>100</v>
      </c>
      <c r="V32" s="774" t="s">
        <v>17</v>
      </c>
      <c r="W32" s="775">
        <f t="shared" si="14"/>
        <v>100</v>
      </c>
      <c r="X32" s="1813"/>
      <c r="Y32" s="3220" t="s">
        <v>2553</v>
      </c>
      <c r="Z32" s="1814">
        <f t="shared" si="15"/>
        <v>111</v>
      </c>
      <c r="AA32" s="1811">
        <f t="shared" si="3"/>
        <v>1</v>
      </c>
      <c r="AB32" s="1811">
        <f t="shared" si="4"/>
        <v>1</v>
      </c>
      <c r="AC32" s="1811">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20"/>
      <c r="Q33" s="1810">
        <f t="shared" si="11"/>
        <v>111</v>
      </c>
      <c r="R33" s="774" t="s">
        <v>17</v>
      </c>
      <c r="S33" s="775">
        <f t="shared" si="12"/>
        <v>100</v>
      </c>
      <c r="T33" s="774" t="s">
        <v>17</v>
      </c>
      <c r="U33" s="775">
        <f t="shared" si="13"/>
        <v>100</v>
      </c>
      <c r="V33" s="774" t="s">
        <v>17</v>
      </c>
      <c r="W33" s="775">
        <f t="shared" si="14"/>
        <v>100</v>
      </c>
      <c r="X33" s="1813"/>
      <c r="Y33" s="3220"/>
      <c r="Z33" s="1814">
        <f t="shared" si="15"/>
        <v>111</v>
      </c>
      <c r="AA33" s="1811">
        <f t="shared" si="3"/>
        <v>1</v>
      </c>
      <c r="AB33" s="1811">
        <f t="shared" si="4"/>
        <v>1</v>
      </c>
      <c r="AC33" s="1811">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41"/>
      <c r="M34" s="1132"/>
      <c r="N34" s="1132"/>
      <c r="O34" s="1140"/>
      <c r="P34" s="3220"/>
      <c r="Q34" s="1810">
        <f t="shared" si="11"/>
        <v>111</v>
      </c>
      <c r="R34" s="774" t="s">
        <v>17</v>
      </c>
      <c r="S34" s="775">
        <f t="shared" si="12"/>
        <v>100</v>
      </c>
      <c r="T34" s="774" t="s">
        <v>17</v>
      </c>
      <c r="U34" s="775">
        <f t="shared" si="13"/>
        <v>100</v>
      </c>
      <c r="V34" s="774" t="s">
        <v>17</v>
      </c>
      <c r="W34" s="775">
        <f t="shared" si="14"/>
        <v>100</v>
      </c>
      <c r="X34" s="1813"/>
      <c r="Y34" s="3220"/>
      <c r="Z34" s="1814">
        <f t="shared" si="15"/>
        <v>111</v>
      </c>
      <c r="AA34" s="1811">
        <f t="shared" si="3"/>
        <v>1</v>
      </c>
      <c r="AB34" s="1811">
        <f t="shared" si="4"/>
        <v>1</v>
      </c>
      <c r="AC34" s="1811">
        <f t="shared" si="5"/>
        <v>1</v>
      </c>
    </row>
    <row r="35" spans="1:29" ht="15">
      <c r="A35" s="479" t="s">
        <v>2565</v>
      </c>
      <c r="B35" s="480"/>
      <c r="C35" s="1408" t="s">
        <v>1</v>
      </c>
      <c r="D35" s="1409"/>
      <c r="E35" s="1410"/>
      <c r="F35" s="1411"/>
      <c r="G35" s="1412"/>
      <c r="H35" s="1413"/>
      <c r="I35" s="1410"/>
      <c r="J35" s="1413"/>
      <c r="K35" s="783"/>
      <c r="L35" s="1144"/>
      <c r="M35" s="1145"/>
      <c r="N35" s="1132"/>
      <c r="O35" s="1145"/>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2657</v>
      </c>
      <c r="B36" s="487"/>
      <c r="C36" s="1414" t="e">
        <f>R37</f>
        <v>#DIV/0!</v>
      </c>
      <c r="D36" s="1415"/>
      <c r="E36" s="1416" t="e">
        <f>R36</f>
        <v>#DIV/0!</v>
      </c>
      <c r="F36" s="1416"/>
      <c r="G36" s="1414" t="e">
        <f>T36</f>
        <v>#DIV/0!</v>
      </c>
      <c r="H36" s="1415"/>
      <c r="I36" s="1416" t="e">
        <f>V36</f>
        <v>#DIV/0!</v>
      </c>
      <c r="J36" s="1415"/>
      <c r="K36" s="784"/>
      <c r="L36" s="1144"/>
      <c r="M36" s="1145"/>
      <c r="N36" s="1132"/>
      <c r="O36" s="1145"/>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2658</v>
      </c>
      <c r="B37" s="493"/>
      <c r="C37" s="1418" t="e">
        <f>R37</f>
        <v>#DIV/0!</v>
      </c>
      <c r="D37" s="1418"/>
      <c r="E37" s="1418"/>
      <c r="F37" s="1418"/>
      <c r="G37" s="1418"/>
      <c r="H37" s="1418"/>
      <c r="I37" s="1418"/>
      <c r="J37" s="1418"/>
      <c r="K37" s="785"/>
      <c r="L37" s="1144"/>
      <c r="M37" s="1145"/>
      <c r="N37" s="1145"/>
      <c r="O37" s="1145"/>
      <c r="P37" s="3257" t="str">
        <f>A37</f>
        <v>估价对象XX用房的比较价值（楼面单价，元/平方米）</v>
      </c>
      <c r="Q37" s="3258"/>
      <c r="R37" s="3259" t="e">
        <f>IF(F1="售价",ROUND(AVERAGE(R36:V36),0),ROUND(AVERAGE(R36:V36),1))</f>
        <v>#DIV/0!</v>
      </c>
      <c r="S37" s="3259"/>
      <c r="T37" s="3259"/>
      <c r="U37" s="3259"/>
      <c r="V37" s="3259"/>
      <c r="W37" s="3259"/>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4" t="str">
        <f>YEAR(C7)&amp;"-"&amp;MONTH(C7)</f>
        <v>2018-7</v>
      </c>
      <c r="D46" s="1575">
        <f>EDATE(C46,-1)</f>
        <v>43252</v>
      </c>
      <c r="E46" s="1575">
        <f t="shared" ref="E46:O46" si="16">EDATE(D46,-1)</f>
        <v>43221</v>
      </c>
      <c r="F46" s="1575">
        <f t="shared" si="16"/>
        <v>43191</v>
      </c>
      <c r="G46" s="1575">
        <f t="shared" si="16"/>
        <v>43160</v>
      </c>
      <c r="H46" s="1575">
        <f t="shared" si="16"/>
        <v>43132</v>
      </c>
      <c r="I46" s="1575">
        <f t="shared" si="16"/>
        <v>43101</v>
      </c>
      <c r="J46" s="1575">
        <f t="shared" si="16"/>
        <v>43070</v>
      </c>
      <c r="K46" s="1575">
        <f t="shared" si="16"/>
        <v>43040</v>
      </c>
      <c r="L46" s="1575">
        <f t="shared" si="16"/>
        <v>43009</v>
      </c>
      <c r="M46" s="1575">
        <f t="shared" si="16"/>
        <v>42979</v>
      </c>
      <c r="N46" s="1575">
        <f t="shared" si="16"/>
        <v>42948</v>
      </c>
      <c r="O46" s="1575">
        <f t="shared" si="16"/>
        <v>42917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2576</v>
      </c>
      <c r="B51" s="528" t="s">
        <v>2542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2551</v>
      </c>
      <c r="B77" s="528" t="s">
        <v>2604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2633</v>
      </c>
      <c r="B4" s="402"/>
      <c r="C4" s="3197" t="s">
        <v>2634</v>
      </c>
      <c r="D4" s="3198"/>
      <c r="E4" s="3199" t="s">
        <v>2635</v>
      </c>
      <c r="F4" s="3200"/>
      <c r="G4" s="3197" t="s">
        <v>2636</v>
      </c>
      <c r="H4" s="3198"/>
      <c r="I4" s="3197" t="s">
        <v>2637</v>
      </c>
      <c r="J4" s="3198"/>
      <c r="K4" s="610" t="s">
        <v>2638</v>
      </c>
      <c r="L4" s="1131"/>
      <c r="M4" s="1132"/>
      <c r="N4" s="1132"/>
      <c r="O4" s="1132"/>
      <c r="P4" s="3253" t="s">
        <v>2639</v>
      </c>
      <c r="Q4" s="3254"/>
      <c r="R4" s="3250" t="s">
        <v>2635</v>
      </c>
      <c r="S4" s="3251"/>
      <c r="T4" s="3250" t="s">
        <v>2636</v>
      </c>
      <c r="U4" s="3251"/>
      <c r="V4" s="3210" t="s">
        <v>2637</v>
      </c>
      <c r="W4" s="3210"/>
      <c r="X4" s="1813"/>
      <c r="Y4" s="3250" t="s">
        <v>2639</v>
      </c>
      <c r="Z4" s="3251"/>
      <c r="AA4" s="3249" t="s">
        <v>2635</v>
      </c>
      <c r="AB4" s="3175" t="s">
        <v>2636</v>
      </c>
      <c r="AC4" s="3249" t="s">
        <v>2637</v>
      </c>
    </row>
    <row r="5" spans="1:30" ht="15">
      <c r="A5" s="404"/>
      <c r="B5" s="405"/>
      <c r="C5" s="3189" t="s">
        <v>2530</v>
      </c>
      <c r="D5" s="3186"/>
      <c r="E5" s="3252" t="s">
        <v>2531</v>
      </c>
      <c r="F5" s="3184"/>
      <c r="G5" s="3189" t="s">
        <v>2532</v>
      </c>
      <c r="H5" s="3186"/>
      <c r="I5" s="3189" t="s">
        <v>2533</v>
      </c>
      <c r="J5" s="3186"/>
      <c r="K5" s="610"/>
      <c r="L5" s="1131"/>
      <c r="M5" s="1132"/>
      <c r="N5" s="1132"/>
      <c r="O5" s="1132"/>
      <c r="P5" s="3255"/>
      <c r="Q5" s="3204"/>
      <c r="R5" s="3181"/>
      <c r="S5" s="3182"/>
      <c r="T5" s="3181"/>
      <c r="U5" s="3182"/>
      <c r="V5" s="3210"/>
      <c r="W5" s="3210"/>
      <c r="X5" s="1813"/>
      <c r="Y5" s="3181"/>
      <c r="Z5" s="3182"/>
      <c r="AA5" s="3175"/>
      <c r="AB5" s="3175"/>
      <c r="AC5" s="3175"/>
    </row>
    <row r="6" spans="1:30" ht="15.75" thickBot="1">
      <c r="A6" s="406"/>
      <c r="B6" s="407"/>
      <c r="C6" s="3192" t="s">
        <v>2534</v>
      </c>
      <c r="D6" s="3188"/>
      <c r="E6" s="3190" t="s">
        <v>2534</v>
      </c>
      <c r="F6" s="3191"/>
      <c r="G6" s="3192" t="s">
        <v>2534</v>
      </c>
      <c r="H6" s="3188"/>
      <c r="I6" s="3192" t="s">
        <v>2534</v>
      </c>
      <c r="J6" s="3188"/>
      <c r="K6" s="610" t="s">
        <v>2535</v>
      </c>
      <c r="L6" s="1131"/>
      <c r="M6" s="1132"/>
      <c r="N6" s="1132"/>
      <c r="O6" s="1132"/>
      <c r="P6" s="3256"/>
      <c r="Q6" s="3206"/>
      <c r="R6" s="3181"/>
      <c r="S6" s="3182"/>
      <c r="T6" s="3207"/>
      <c r="U6" s="3208"/>
      <c r="V6" s="3210"/>
      <c r="W6" s="3210"/>
      <c r="X6" s="1813"/>
      <c r="Y6" s="3207"/>
      <c r="Z6" s="3208"/>
      <c r="AA6" s="3176"/>
      <c r="AB6" s="3176"/>
      <c r="AC6" s="3176"/>
    </row>
    <row r="7" spans="1:30" s="117" customFormat="1" ht="15.75" thickBot="1">
      <c r="A7" s="408" t="s">
        <v>2536</v>
      </c>
      <c r="B7" s="409"/>
      <c r="C7" s="410">
        <f>'数据-取费表'!B2</f>
        <v>43293</v>
      </c>
      <c r="D7" s="411">
        <v>100</v>
      </c>
      <c r="E7" s="412">
        <v>42309</v>
      </c>
      <c r="F7" s="413">
        <f>SUMIF(70:70,YEAR(E7)&amp;"-"&amp;INT((MONTH(E7)+2)/3),71:71)</f>
        <v>0</v>
      </c>
      <c r="G7" s="2685">
        <v>42309</v>
      </c>
      <c r="H7" s="411">
        <f>SUMIF(70:70,YEAR(G7)&amp;"-"&amp;INT((MONTH(G7)+2)/3),71:71)</f>
        <v>0</v>
      </c>
      <c r="I7" s="2685">
        <v>42036</v>
      </c>
      <c r="J7" s="411">
        <f>SUMIF(70:70,YEAR(I7)&amp;"-"&amp;INT((MONTH(I7)+2)/3),71:71)</f>
        <v>0</v>
      </c>
      <c r="K7" s="611"/>
      <c r="L7" s="1133"/>
      <c r="M7" s="1134"/>
      <c r="N7" s="1134"/>
      <c r="O7" s="1134"/>
      <c r="P7" s="3177" t="s">
        <v>2537</v>
      </c>
      <c r="Q7" s="3212"/>
      <c r="R7" s="770" t="s">
        <v>17</v>
      </c>
      <c r="S7" s="771">
        <f t="shared" ref="S7:S15" si="0">F7</f>
        <v>0</v>
      </c>
      <c r="T7" s="770" t="s">
        <v>17</v>
      </c>
      <c r="U7" s="771">
        <f t="shared" ref="U7:U15" si="1">H7</f>
        <v>0</v>
      </c>
      <c r="V7" s="770" t="s">
        <v>17</v>
      </c>
      <c r="W7" s="771">
        <f t="shared" ref="W7:W15" si="2">J7</f>
        <v>0</v>
      </c>
      <c r="X7" s="772"/>
      <c r="Y7" s="3177" t="s">
        <v>2537</v>
      </c>
      <c r="Z7" s="3178"/>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77" t="s">
        <v>2540</v>
      </c>
      <c r="Q8" s="3178"/>
      <c r="R8" s="770" t="s">
        <v>17</v>
      </c>
      <c r="S8" s="771">
        <f t="shared" si="0"/>
        <v>0</v>
      </c>
      <c r="T8" s="770" t="s">
        <v>17</v>
      </c>
      <c r="U8" s="771">
        <f t="shared" si="1"/>
        <v>0</v>
      </c>
      <c r="V8" s="770" t="s">
        <v>17</v>
      </c>
      <c r="W8" s="771">
        <f t="shared" si="2"/>
        <v>0</v>
      </c>
      <c r="X8" s="772"/>
      <c r="Y8" s="3177" t="s">
        <v>2540</v>
      </c>
      <c r="Z8" s="3178"/>
      <c r="AA8" s="773" t="e">
        <f t="shared" ref="AA8:AA45" si="3">D8/F8</f>
        <v>#DIV/0!</v>
      </c>
      <c r="AB8" s="773" t="e">
        <f t="shared" ref="AB8:AB45" si="4">D8/H8</f>
        <v>#DIV/0!</v>
      </c>
      <c r="AC8" s="773" t="e">
        <f t="shared" ref="AC8:AC45" si="5">D8/J8</f>
        <v>#DIV/0!</v>
      </c>
    </row>
    <row r="9" spans="1:30" s="117" customFormat="1">
      <c r="A9" s="415" t="s">
        <v>2541</v>
      </c>
      <c r="B9" s="71" t="s">
        <v>2542</v>
      </c>
      <c r="C9" s="2688"/>
      <c r="D9" s="135">
        <v>100</v>
      </c>
      <c r="E9" s="2688"/>
      <c r="F9" s="135">
        <f>SUMIF(75:75,E9,76:76)-SUMIF(75:75,C9,76:76)+100</f>
        <v>100</v>
      </c>
      <c r="G9" s="2688"/>
      <c r="H9" s="135">
        <f>SUMIF(75:75,G9,76:76)-SUMIF(75:75,C9,76:76)+100</f>
        <v>100</v>
      </c>
      <c r="I9" s="2688"/>
      <c r="J9" s="135">
        <f>SUMIF(75:75,I9,76:76)-SUMIF(75:75,C9,76:76)+100</f>
        <v>100</v>
      </c>
      <c r="K9" s="611"/>
      <c r="L9" s="1133"/>
      <c r="M9" s="1134"/>
      <c r="N9" s="1134"/>
      <c r="O9" s="1135"/>
      <c r="P9" s="3222" t="s">
        <v>2543</v>
      </c>
      <c r="Q9" s="1795" t="str">
        <f t="shared" ref="Q9:Q15" si="6">B9</f>
        <v>用途</v>
      </c>
      <c r="R9" s="770" t="s">
        <v>17</v>
      </c>
      <c r="S9" s="771">
        <f t="shared" si="0"/>
        <v>100</v>
      </c>
      <c r="T9" s="770" t="s">
        <v>17</v>
      </c>
      <c r="U9" s="771">
        <f t="shared" si="1"/>
        <v>100</v>
      </c>
      <c r="V9" s="770" t="s">
        <v>17</v>
      </c>
      <c r="W9" s="771">
        <f t="shared" si="2"/>
        <v>100</v>
      </c>
      <c r="X9" s="772"/>
      <c r="Y9" s="3046"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111</v>
      </c>
      <c r="G10" s="463"/>
      <c r="H10" s="136">
        <f>ROUND(100/'数据-取费表'!G16,0)</f>
        <v>111</v>
      </c>
      <c r="I10" s="463"/>
      <c r="J10" s="136">
        <f>ROUND(100/'数据-取费表'!G16,0)</f>
        <v>111</v>
      </c>
      <c r="K10" s="672"/>
      <c r="L10" s="1136"/>
      <c r="M10" s="1137"/>
      <c r="N10" s="1137"/>
      <c r="O10" s="1138"/>
      <c r="P10" s="3222"/>
      <c r="Q10" s="1795" t="str">
        <f t="shared" si="6"/>
        <v>土地使用年限（年）</v>
      </c>
      <c r="R10" s="770" t="s">
        <v>17</v>
      </c>
      <c r="S10" s="771">
        <f t="shared" si="0"/>
        <v>111</v>
      </c>
      <c r="T10" s="770" t="s">
        <v>17</v>
      </c>
      <c r="U10" s="771">
        <f t="shared" si="1"/>
        <v>111</v>
      </c>
      <c r="V10" s="770" t="s">
        <v>17</v>
      </c>
      <c r="W10" s="771">
        <f t="shared" si="2"/>
        <v>111</v>
      </c>
      <c r="X10" s="772"/>
      <c r="Y10" s="3046"/>
      <c r="Z10" s="55" t="str">
        <f t="shared" si="7"/>
        <v>土地使用年限（年）</v>
      </c>
      <c r="AA10" s="773">
        <f t="shared" si="3"/>
        <v>0.90090090090090091</v>
      </c>
      <c r="AB10" s="773">
        <f t="shared" si="4"/>
        <v>0.90090090090090091</v>
      </c>
      <c r="AC10" s="773">
        <f t="shared" si="5"/>
        <v>0.90090090090090091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22"/>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589" t="s">
        <v>2735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22"/>
      <c r="Q12" s="1795"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22"/>
      <c r="Q13" s="1795">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22"/>
      <c r="Q14" s="1795">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2547</v>
      </c>
      <c r="B15" s="69" t="s">
        <v>2078</v>
      </c>
      <c r="C15" s="259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15" t="s">
        <v>2548</v>
      </c>
      <c r="Q15" s="1810" t="str">
        <f t="shared" si="6"/>
        <v>居住社区成熟度</v>
      </c>
      <c r="R15" s="774" t="s">
        <v>17</v>
      </c>
      <c r="S15" s="775">
        <f t="shared" si="0"/>
        <v>100</v>
      </c>
      <c r="T15" s="774" t="s">
        <v>17</v>
      </c>
      <c r="U15" s="775">
        <f t="shared" si="1"/>
        <v>100</v>
      </c>
      <c r="V15" s="774" t="s">
        <v>17</v>
      </c>
      <c r="W15" s="775">
        <f t="shared" si="2"/>
        <v>100</v>
      </c>
      <c r="X15" s="1813"/>
      <c r="Y15" s="3215" t="s">
        <v>2548</v>
      </c>
      <c r="Z15" s="1814" t="str">
        <f t="shared" si="7"/>
        <v>居住社区成熟度</v>
      </c>
      <c r="AA15" s="1811">
        <f t="shared" si="3"/>
        <v>1</v>
      </c>
      <c r="AB15" s="1811">
        <f t="shared" si="4"/>
        <v>1</v>
      </c>
      <c r="AC15" s="1811">
        <f t="shared" si="5"/>
        <v>1</v>
      </c>
    </row>
    <row r="16" spans="1:30" ht="15">
      <c r="A16" s="428"/>
      <c r="B16" s="446"/>
      <c r="C16" s="447"/>
      <c r="D16" s="448"/>
      <c r="E16" s="2594"/>
      <c r="F16" s="448"/>
      <c r="G16" s="2594"/>
      <c r="H16" s="450"/>
      <c r="I16" s="2593"/>
      <c r="J16" s="448"/>
      <c r="K16" s="672"/>
      <c r="L16" s="1141"/>
      <c r="M16" s="1132"/>
      <c r="N16" s="1132"/>
      <c r="O16" s="1140"/>
      <c r="P16" s="3216"/>
      <c r="Q16" s="1810"/>
      <c r="R16" s="774"/>
      <c r="S16" s="775"/>
      <c r="T16" s="774"/>
      <c r="U16" s="775"/>
      <c r="V16" s="774"/>
      <c r="W16" s="775"/>
      <c r="X16" s="1813"/>
      <c r="Y16" s="3216"/>
      <c r="Z16" s="1814"/>
      <c r="AA16" s="1811">
        <v>1</v>
      </c>
      <c r="AB16" s="1811">
        <v>1</v>
      </c>
      <c r="AC16" s="1811">
        <v>1</v>
      </c>
    </row>
    <row r="17" spans="1:29" ht="71.25">
      <c r="A17" s="428"/>
      <c r="B17" s="451" t="s">
        <v>2641</v>
      </c>
      <c r="C17" s="265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16"/>
      <c r="Q17" s="1810" t="str">
        <f>B17</f>
        <v>商业繁华度</v>
      </c>
      <c r="R17" s="774" t="s">
        <v>17</v>
      </c>
      <c r="S17" s="775">
        <f>F17</f>
        <v>100</v>
      </c>
      <c r="T17" s="774" t="s">
        <v>17</v>
      </c>
      <c r="U17" s="775">
        <f>H17</f>
        <v>100</v>
      </c>
      <c r="V17" s="774" t="s">
        <v>17</v>
      </c>
      <c r="W17" s="775">
        <f>J17</f>
        <v>100</v>
      </c>
      <c r="X17" s="1813"/>
      <c r="Y17" s="3216"/>
      <c r="Z17" s="1814" t="str">
        <f>Q17</f>
        <v>商业繁华度</v>
      </c>
      <c r="AA17" s="1811">
        <f t="shared" si="3"/>
        <v>1</v>
      </c>
      <c r="AB17" s="1811">
        <f t="shared" si="4"/>
        <v>1</v>
      </c>
      <c r="AC17" s="1811">
        <f t="shared" si="5"/>
        <v>1</v>
      </c>
    </row>
    <row r="18" spans="1:29" ht="15">
      <c r="A18" s="428"/>
      <c r="B18" s="456"/>
      <c r="C18" s="2597"/>
      <c r="D18" s="450"/>
      <c r="E18" s="2599"/>
      <c r="F18" s="450"/>
      <c r="G18" s="2599"/>
      <c r="H18" s="448"/>
      <c r="I18" s="2598"/>
      <c r="J18" s="448"/>
      <c r="K18" s="672"/>
      <c r="L18" s="1141"/>
      <c r="M18" s="1132"/>
      <c r="N18" s="1132"/>
      <c r="O18" s="1140"/>
      <c r="P18" s="3216"/>
      <c r="Q18" s="1810"/>
      <c r="R18" s="774"/>
      <c r="S18" s="775"/>
      <c r="T18" s="774"/>
      <c r="U18" s="775"/>
      <c r="V18" s="774"/>
      <c r="W18" s="775"/>
      <c r="X18" s="1813"/>
      <c r="Y18" s="3216"/>
      <c r="Z18" s="1814"/>
      <c r="AA18" s="1811">
        <v>1</v>
      </c>
      <c r="AB18" s="1811">
        <v>1</v>
      </c>
      <c r="AC18" s="1811">
        <v>1</v>
      </c>
    </row>
    <row r="19" spans="1:29" ht="114">
      <c r="A19" s="428"/>
      <c r="B19" s="451" t="s">
        <v>2675</v>
      </c>
      <c r="C19" s="2653"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16"/>
      <c r="Q19" s="1810" t="str">
        <f>B19</f>
        <v>办公集聚程度</v>
      </c>
      <c r="R19" s="774" t="s">
        <v>17</v>
      </c>
      <c r="S19" s="775">
        <f>F19</f>
        <v>100</v>
      </c>
      <c r="T19" s="774" t="s">
        <v>17</v>
      </c>
      <c r="U19" s="775">
        <f>H19</f>
        <v>100</v>
      </c>
      <c r="V19" s="774" t="s">
        <v>17</v>
      </c>
      <c r="W19" s="775">
        <f>J19</f>
        <v>100</v>
      </c>
      <c r="X19" s="1813"/>
      <c r="Y19" s="3216"/>
      <c r="Z19" s="1814" t="str">
        <f>Q19</f>
        <v>办公集聚程度</v>
      </c>
      <c r="AA19" s="1811">
        <f t="shared" si="3"/>
        <v>1</v>
      </c>
      <c r="AB19" s="1811">
        <f t="shared" si="4"/>
        <v>1</v>
      </c>
      <c r="AC19" s="1811">
        <f t="shared" si="5"/>
        <v>1</v>
      </c>
    </row>
    <row r="20" spans="1:29" ht="15">
      <c r="A20" s="428"/>
      <c r="B20" s="456"/>
      <c r="C20" s="447"/>
      <c r="D20" s="448"/>
      <c r="E20" s="2594"/>
      <c r="F20" s="448"/>
      <c r="G20" s="2594"/>
      <c r="H20" s="448"/>
      <c r="I20" s="2593"/>
      <c r="J20" s="448"/>
      <c r="K20" s="672"/>
      <c r="L20" s="1141"/>
      <c r="M20" s="1132"/>
      <c r="N20" s="1132"/>
      <c r="O20" s="1140"/>
      <c r="P20" s="3216"/>
      <c r="Q20" s="1810"/>
      <c r="R20" s="774"/>
      <c r="S20" s="775"/>
      <c r="T20" s="774"/>
      <c r="U20" s="775"/>
      <c r="V20" s="774"/>
      <c r="W20" s="775"/>
      <c r="X20" s="1813"/>
      <c r="Y20" s="3216"/>
      <c r="Z20" s="1814"/>
      <c r="AA20" s="1811">
        <v>1</v>
      </c>
      <c r="AB20" s="1811">
        <v>1</v>
      </c>
      <c r="AC20" s="1811">
        <v>1</v>
      </c>
    </row>
    <row r="21" spans="1:29" ht="185.25">
      <c r="A21" s="428"/>
      <c r="B21" s="451" t="s">
        <v>2697</v>
      </c>
      <c r="C21" s="2596"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16"/>
      <c r="Q21" s="1810" t="str">
        <f>B21</f>
        <v>交通便捷度</v>
      </c>
      <c r="R21" s="774" t="s">
        <v>17</v>
      </c>
      <c r="S21" s="775">
        <f>F21</f>
        <v>100</v>
      </c>
      <c r="T21" s="774" t="s">
        <v>17</v>
      </c>
      <c r="U21" s="775">
        <f>H21</f>
        <v>100</v>
      </c>
      <c r="V21" s="774" t="s">
        <v>17</v>
      </c>
      <c r="W21" s="775">
        <f>J21</f>
        <v>100</v>
      </c>
      <c r="X21" s="1813"/>
      <c r="Y21" s="3216"/>
      <c r="Z21" s="1814" t="str">
        <f>Q21</f>
        <v>交通便捷度</v>
      </c>
      <c r="AA21" s="1811">
        <f t="shared" si="3"/>
        <v>1</v>
      </c>
      <c r="AB21" s="1811">
        <f t="shared" si="4"/>
        <v>1</v>
      </c>
      <c r="AC21" s="1811">
        <f t="shared" si="5"/>
        <v>1</v>
      </c>
    </row>
    <row r="22" spans="1:29" ht="15">
      <c r="A22" s="428"/>
      <c r="B22" s="1385"/>
      <c r="C22" s="447"/>
      <c r="D22" s="450"/>
      <c r="E22" s="2594"/>
      <c r="F22" s="448"/>
      <c r="G22" s="2594"/>
      <c r="H22" s="448"/>
      <c r="I22" s="2593"/>
      <c r="J22" s="448"/>
      <c r="K22" s="672"/>
      <c r="L22" s="1141"/>
      <c r="M22" s="1132"/>
      <c r="N22" s="1132"/>
      <c r="O22" s="1140"/>
      <c r="P22" s="3216"/>
      <c r="Q22" s="1810"/>
      <c r="R22" s="774"/>
      <c r="S22" s="775"/>
      <c r="T22" s="774"/>
      <c r="U22" s="775"/>
      <c r="V22" s="774"/>
      <c r="W22" s="775"/>
      <c r="X22" s="1813"/>
      <c r="Y22" s="3216"/>
      <c r="Z22" s="1814"/>
      <c r="AA22" s="1811">
        <v>1</v>
      </c>
      <c r="AB22" s="1811">
        <v>1</v>
      </c>
      <c r="AC22" s="1811">
        <v>1</v>
      </c>
    </row>
    <row r="23" spans="1:29" ht="15">
      <c r="A23" s="404"/>
      <c r="B23" s="451" t="s">
        <v>2736</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16"/>
      <c r="Q23" s="1810" t="str">
        <f t="shared" ref="Q23:Q37" si="8">B23</f>
        <v>区域土地利用方向</v>
      </c>
      <c r="R23" s="774" t="s">
        <v>17</v>
      </c>
      <c r="S23" s="775">
        <f>F23</f>
        <v>100</v>
      </c>
      <c r="T23" s="774" t="s">
        <v>17</v>
      </c>
      <c r="U23" s="775">
        <f>H23</f>
        <v>100</v>
      </c>
      <c r="V23" s="774" t="s">
        <v>17</v>
      </c>
      <c r="W23" s="775">
        <f>J23</f>
        <v>100</v>
      </c>
      <c r="X23" s="1813"/>
      <c r="Y23" s="3216"/>
      <c r="Z23" s="1814" t="str">
        <f>Q23</f>
        <v>区域土地利用方向</v>
      </c>
      <c r="AA23" s="1811">
        <f t="shared" si="3"/>
        <v>1</v>
      </c>
      <c r="AB23" s="1811">
        <f t="shared" si="4"/>
        <v>1</v>
      </c>
      <c r="AC23" s="1811">
        <f t="shared" si="5"/>
        <v>1</v>
      </c>
    </row>
    <row r="24" spans="1:29" ht="15">
      <c r="A24" s="404"/>
      <c r="B24" s="456"/>
      <c r="C24" s="616"/>
      <c r="D24" s="448"/>
      <c r="E24" s="2594"/>
      <c r="F24" s="448"/>
      <c r="G24" s="2593"/>
      <c r="H24" s="448"/>
      <c r="I24" s="2593"/>
      <c r="J24" s="448"/>
      <c r="K24" s="812"/>
      <c r="L24" s="1141"/>
      <c r="M24" s="1132"/>
      <c r="N24" s="1132"/>
      <c r="O24" s="1140"/>
      <c r="P24" s="3216"/>
      <c r="Q24" s="1810"/>
      <c r="R24" s="774"/>
      <c r="S24" s="775"/>
      <c r="T24" s="774"/>
      <c r="U24" s="775"/>
      <c r="V24" s="774"/>
      <c r="W24" s="775"/>
      <c r="X24" s="1813"/>
      <c r="Y24" s="3216"/>
      <c r="Z24" s="1814"/>
      <c r="AA24" s="1811"/>
      <c r="AB24" s="1811"/>
      <c r="AC24" s="1811"/>
    </row>
    <row r="25" spans="1:29" ht="85.5">
      <c r="A25" s="404"/>
      <c r="B25" s="1385" t="s">
        <v>2737</v>
      </c>
      <c r="C25" s="2653" t="str">
        <f>估价对象房地状况!C20</f>
        <v>估价对象周边人文环境一般；有御康公园，自然环境一般；综合评价环境状况一般。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16"/>
      <c r="Q25" s="1810" t="str">
        <f t="shared" si="8"/>
        <v>自然及人文环境状况</v>
      </c>
      <c r="R25" s="774" t="s">
        <v>17</v>
      </c>
      <c r="S25" s="775">
        <f>F25</f>
        <v>100</v>
      </c>
      <c r="T25" s="774" t="s">
        <v>17</v>
      </c>
      <c r="U25" s="775">
        <f>H25</f>
        <v>100</v>
      </c>
      <c r="V25" s="774" t="s">
        <v>17</v>
      </c>
      <c r="W25" s="775">
        <f>J25</f>
        <v>100</v>
      </c>
      <c r="X25" s="1813"/>
      <c r="Y25" s="3216"/>
      <c r="Z25" s="1814" t="str">
        <f>Q25</f>
        <v>自然及人文环境状况</v>
      </c>
      <c r="AA25" s="1811">
        <f t="shared" si="3"/>
        <v>1</v>
      </c>
      <c r="AB25" s="1811">
        <f t="shared" si="4"/>
        <v>1</v>
      </c>
      <c r="AC25" s="1811">
        <f t="shared" si="5"/>
        <v>1</v>
      </c>
    </row>
    <row r="26" spans="1:29" ht="15">
      <c r="A26" s="404"/>
      <c r="B26" s="456"/>
      <c r="C26" s="447"/>
      <c r="D26" s="448"/>
      <c r="E26" s="2600"/>
      <c r="F26" s="448"/>
      <c r="G26" s="2600"/>
      <c r="H26" s="448"/>
      <c r="I26" s="447"/>
      <c r="J26" s="448"/>
      <c r="K26" s="672"/>
      <c r="L26" s="1141"/>
      <c r="M26" s="1132"/>
      <c r="N26" s="1132"/>
      <c r="O26" s="1140"/>
      <c r="P26" s="3216"/>
      <c r="Q26" s="1810"/>
      <c r="R26" s="774"/>
      <c r="S26" s="775"/>
      <c r="T26" s="774"/>
      <c r="U26" s="775"/>
      <c r="V26" s="774"/>
      <c r="W26" s="775"/>
      <c r="X26" s="1813"/>
      <c r="Y26" s="3216"/>
      <c r="Z26" s="1814"/>
      <c r="AA26" s="1811">
        <v>1</v>
      </c>
      <c r="AB26" s="1811">
        <v>1</v>
      </c>
      <c r="AC26" s="1811">
        <v>1</v>
      </c>
    </row>
    <row r="27" spans="1:29" s="117" customFormat="1" ht="213.75">
      <c r="A27" s="649"/>
      <c r="B27" s="1385" t="s">
        <v>2642</v>
      </c>
      <c r="C27" s="2596"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16"/>
      <c r="Q27" s="1795" t="str">
        <f t="shared" si="8"/>
        <v>公共配套设施</v>
      </c>
      <c r="R27" s="770" t="s">
        <v>17</v>
      </c>
      <c r="S27" s="771">
        <f>F27</f>
        <v>100</v>
      </c>
      <c r="T27" s="770" t="s">
        <v>17</v>
      </c>
      <c r="U27" s="771">
        <f>H27</f>
        <v>100</v>
      </c>
      <c r="V27" s="770" t="s">
        <v>17</v>
      </c>
      <c r="W27" s="771">
        <f>J27</f>
        <v>100</v>
      </c>
      <c r="X27" s="772"/>
      <c r="Y27" s="3216"/>
      <c r="Z27" s="55" t="str">
        <f>Q27</f>
        <v>公共配套设施</v>
      </c>
      <c r="AA27" s="1811">
        <f>D27/F27</f>
        <v>1</v>
      </c>
      <c r="AB27" s="1811">
        <f>D27/H27</f>
        <v>1</v>
      </c>
      <c r="AC27" s="1811">
        <f>D27/J27</f>
        <v>1</v>
      </c>
    </row>
    <row r="28" spans="1:29" s="117" customFormat="1" ht="15">
      <c r="A28" s="649"/>
      <c r="B28" s="456"/>
      <c r="C28" s="2689"/>
      <c r="D28" s="448"/>
      <c r="E28" s="2600"/>
      <c r="F28" s="448"/>
      <c r="G28" s="2600"/>
      <c r="H28" s="448"/>
      <c r="I28" s="447"/>
      <c r="J28" s="448"/>
      <c r="K28" s="672"/>
      <c r="L28" s="1133"/>
      <c r="M28" s="1134"/>
      <c r="N28" s="1134"/>
      <c r="O28" s="1135"/>
      <c r="P28" s="3216"/>
      <c r="Q28" s="1795"/>
      <c r="R28" s="770"/>
      <c r="S28" s="771"/>
      <c r="T28" s="770"/>
      <c r="U28" s="771"/>
      <c r="V28" s="770"/>
      <c r="W28" s="771"/>
      <c r="X28" s="772"/>
      <c r="Y28" s="3216"/>
      <c r="Z28" s="55"/>
      <c r="AA28" s="1811">
        <v>1</v>
      </c>
      <c r="AB28" s="1811">
        <v>1</v>
      </c>
      <c r="AC28" s="1811">
        <v>1</v>
      </c>
    </row>
    <row r="29" spans="1:29" s="117" customFormat="1" ht="42.75">
      <c r="A29" s="649"/>
      <c r="B29" s="1385" t="s">
        <v>2643</v>
      </c>
      <c r="C29" s="2596"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16"/>
      <c r="Q29" s="1795"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1">
        <f>D29/F29</f>
        <v>1</v>
      </c>
      <c r="AB29" s="1811">
        <f>D29/H29</f>
        <v>1</v>
      </c>
      <c r="AC29" s="1811">
        <f>D29/J29</f>
        <v>1</v>
      </c>
    </row>
    <row r="30" spans="1:29" s="117" customFormat="1" ht="15">
      <c r="A30" s="649"/>
      <c r="B30" s="456"/>
      <c r="C30" s="2689"/>
      <c r="D30" s="448"/>
      <c r="E30" s="2690"/>
      <c r="F30" s="448"/>
      <c r="G30" s="2690"/>
      <c r="H30" s="448"/>
      <c r="I30" s="2690"/>
      <c r="J30" s="448"/>
      <c r="K30" s="672"/>
      <c r="L30" s="1133"/>
      <c r="M30" s="1134"/>
      <c r="N30" s="1134"/>
      <c r="O30" s="1135"/>
      <c r="P30" s="3216"/>
      <c r="Q30" s="1795"/>
      <c r="R30" s="770"/>
      <c r="S30" s="771"/>
      <c r="T30" s="770"/>
      <c r="U30" s="771"/>
      <c r="V30" s="770"/>
      <c r="W30" s="771"/>
      <c r="X30" s="772"/>
      <c r="Y30" s="3216"/>
      <c r="Z30" s="55"/>
      <c r="AA30" s="1811">
        <v>1</v>
      </c>
      <c r="AB30" s="1811">
        <v>1</v>
      </c>
      <c r="AC30" s="1811">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1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6"/>
      <c r="Z31" s="1814" t="str">
        <f t="shared" ref="Z31:Z45" si="13">Q31</f>
        <v>临街状况</v>
      </c>
      <c r="AA31" s="1811">
        <f t="shared" si="3"/>
        <v>1</v>
      </c>
      <c r="AB31" s="1811">
        <f t="shared" si="4"/>
        <v>1</v>
      </c>
      <c r="AC31" s="1811">
        <f t="shared" si="5"/>
        <v>1</v>
      </c>
    </row>
    <row r="32" spans="1:29" ht="27">
      <c r="A32" s="428"/>
      <c r="B32" s="1385"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16"/>
      <c r="Q32" s="1810" t="str">
        <f t="shared" si="8"/>
        <v>毗邻道路的类型与等级</v>
      </c>
      <c r="R32" s="774" t="s">
        <v>17</v>
      </c>
      <c r="S32" s="775">
        <f t="shared" si="10"/>
        <v>100</v>
      </c>
      <c r="T32" s="774" t="s">
        <v>17</v>
      </c>
      <c r="U32" s="775">
        <f t="shared" si="11"/>
        <v>100</v>
      </c>
      <c r="V32" s="774" t="s">
        <v>17</v>
      </c>
      <c r="W32" s="775">
        <f t="shared" si="12"/>
        <v>100</v>
      </c>
      <c r="X32" s="1813"/>
      <c r="Y32" s="3216"/>
      <c r="Z32" s="1814" t="str">
        <f t="shared" si="13"/>
        <v>毗邻道路的类型与等级</v>
      </c>
      <c r="AA32" s="1811">
        <f t="shared" si="3"/>
        <v>1</v>
      </c>
      <c r="AB32" s="1811">
        <f t="shared" si="4"/>
        <v>1</v>
      </c>
      <c r="AC32" s="1811">
        <f t="shared" si="5"/>
        <v>1</v>
      </c>
    </row>
    <row r="33" spans="1:29" ht="15">
      <c r="A33" s="428"/>
      <c r="B33" s="456"/>
      <c r="C33" s="447"/>
      <c r="D33" s="448"/>
      <c r="E33" s="2600"/>
      <c r="F33" s="448"/>
      <c r="G33" s="2600"/>
      <c r="H33" s="448"/>
      <c r="I33" s="447"/>
      <c r="J33" s="448"/>
      <c r="K33" s="613"/>
      <c r="L33" s="1141"/>
      <c r="M33" s="1132"/>
      <c r="N33" s="1132"/>
      <c r="O33" s="1140"/>
      <c r="P33" s="3216"/>
      <c r="Q33" s="1810"/>
      <c r="R33" s="774"/>
      <c r="S33" s="775"/>
      <c r="T33" s="774"/>
      <c r="U33" s="775"/>
      <c r="V33" s="774"/>
      <c r="W33" s="775"/>
      <c r="X33" s="1813"/>
      <c r="Y33" s="3216"/>
      <c r="Z33" s="1814"/>
      <c r="AA33" s="1811">
        <v>1</v>
      </c>
      <c r="AB33" s="1811">
        <v>1</v>
      </c>
      <c r="AC33" s="1811">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16"/>
      <c r="Q34" s="1810" t="str">
        <f t="shared" si="8"/>
        <v>土地级别</v>
      </c>
      <c r="R34" s="774" t="s">
        <v>17</v>
      </c>
      <c r="S34" s="775">
        <f t="shared" si="10"/>
        <v>100</v>
      </c>
      <c r="T34" s="774" t="s">
        <v>17</v>
      </c>
      <c r="U34" s="775">
        <f t="shared" si="11"/>
        <v>100</v>
      </c>
      <c r="V34" s="774" t="s">
        <v>17</v>
      </c>
      <c r="W34" s="775">
        <f t="shared" si="12"/>
        <v>100</v>
      </c>
      <c r="X34" s="1813"/>
      <c r="Y34" s="3216"/>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16"/>
      <c r="Q35" s="1810">
        <f t="shared" si="8"/>
        <v>111</v>
      </c>
      <c r="R35" s="774" t="s">
        <v>17</v>
      </c>
      <c r="S35" s="775">
        <f t="shared" si="10"/>
        <v>100</v>
      </c>
      <c r="T35" s="774" t="s">
        <v>17</v>
      </c>
      <c r="U35" s="775">
        <f t="shared" si="11"/>
        <v>100</v>
      </c>
      <c r="V35" s="774" t="s">
        <v>17</v>
      </c>
      <c r="W35" s="775">
        <f t="shared" si="12"/>
        <v>100</v>
      </c>
      <c r="X35" s="1813"/>
      <c r="Y35" s="3216"/>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60" t="s">
        <v>2553</v>
      </c>
      <c r="Q36" s="1810">
        <f t="shared" si="8"/>
        <v>111</v>
      </c>
      <c r="R36" s="774" t="s">
        <v>17</v>
      </c>
      <c r="S36" s="775">
        <f t="shared" si="10"/>
        <v>100</v>
      </c>
      <c r="T36" s="774" t="s">
        <v>17</v>
      </c>
      <c r="U36" s="775">
        <f t="shared" si="11"/>
        <v>100</v>
      </c>
      <c r="V36" s="774" t="s">
        <v>17</v>
      </c>
      <c r="W36" s="775">
        <f t="shared" si="12"/>
        <v>100</v>
      </c>
      <c r="X36" s="1813"/>
      <c r="Y36" s="3220" t="s">
        <v>2553</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20"/>
      <c r="Q37" s="1810">
        <f t="shared" si="8"/>
        <v>111</v>
      </c>
      <c r="R37" s="777" t="s">
        <v>17</v>
      </c>
      <c r="S37" s="778">
        <f t="shared" si="10"/>
        <v>100</v>
      </c>
      <c r="T37" s="777" t="s">
        <v>17</v>
      </c>
      <c r="U37" s="778">
        <f t="shared" si="11"/>
        <v>100</v>
      </c>
      <c r="V37" s="777" t="s">
        <v>17</v>
      </c>
      <c r="W37" s="778">
        <f t="shared" si="12"/>
        <v>100</v>
      </c>
      <c r="X37" s="779"/>
      <c r="Y37" s="3220"/>
      <c r="Z37" s="780">
        <f t="shared" si="13"/>
        <v>111</v>
      </c>
      <c r="AA37" s="1811">
        <f t="shared" si="3"/>
        <v>1</v>
      </c>
      <c r="AB37" s="1811">
        <f t="shared" si="4"/>
        <v>1</v>
      </c>
      <c r="AC37" s="1811">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20"/>
      <c r="Q38" s="1810" t="str">
        <f>B38</f>
        <v>宗地面积</v>
      </c>
      <c r="R38" s="774" t="s">
        <v>17</v>
      </c>
      <c r="S38" s="775" t="e">
        <f t="shared" si="10"/>
        <v>#N/A</v>
      </c>
      <c r="T38" s="774" t="s">
        <v>17</v>
      </c>
      <c r="U38" s="775" t="e">
        <f t="shared" si="11"/>
        <v>#N/A</v>
      </c>
      <c r="V38" s="774" t="s">
        <v>17</v>
      </c>
      <c r="W38" s="775" t="e">
        <f t="shared" si="12"/>
        <v>#N/A</v>
      </c>
      <c r="X38" s="1813"/>
      <c r="Y38" s="3220"/>
      <c r="Z38" s="1814" t="str">
        <f t="shared" si="13"/>
        <v>宗地面积</v>
      </c>
      <c r="AA38" s="1811" t="e">
        <f t="shared" si="3"/>
        <v>#N/A</v>
      </c>
      <c r="AB38" s="1811" t="e">
        <f t="shared" si="4"/>
        <v>#N/A</v>
      </c>
      <c r="AC38" s="1811" t="e">
        <f t="shared" si="5"/>
        <v>#N/A</v>
      </c>
    </row>
    <row r="39" spans="1:29" ht="15">
      <c r="A39" s="472"/>
      <c r="B39" s="422" t="s">
        <v>2740</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41"/>
      <c r="M39" s="1132"/>
      <c r="N39" s="1132"/>
      <c r="O39" s="1140"/>
      <c r="P39" s="3220"/>
      <c r="Q39" s="1810" t="str">
        <f t="shared" ref="Q39:Q45" si="14">B39</f>
        <v>宗地形状</v>
      </c>
      <c r="R39" s="774" t="s">
        <v>17</v>
      </c>
      <c r="S39" s="775">
        <f t="shared" si="10"/>
        <v>100</v>
      </c>
      <c r="T39" s="774" t="s">
        <v>17</v>
      </c>
      <c r="U39" s="775">
        <f t="shared" si="11"/>
        <v>100</v>
      </c>
      <c r="V39" s="774" t="s">
        <v>17</v>
      </c>
      <c r="W39" s="775">
        <f t="shared" si="12"/>
        <v>100</v>
      </c>
      <c r="X39" s="1813"/>
      <c r="Y39" s="3220"/>
      <c r="Z39" s="1814" t="str">
        <f t="shared" si="13"/>
        <v>宗地形状</v>
      </c>
      <c r="AA39" s="1811">
        <f t="shared" si="3"/>
        <v>1</v>
      </c>
      <c r="AB39" s="1811">
        <f t="shared" si="4"/>
        <v>1</v>
      </c>
      <c r="AC39" s="1811">
        <f t="shared" si="5"/>
        <v>1</v>
      </c>
    </row>
    <row r="40" spans="1:29" ht="15">
      <c r="A40" s="472"/>
      <c r="B40" s="422" t="s">
        <v>2741</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41"/>
      <c r="M40" s="1132"/>
      <c r="N40" s="1132"/>
      <c r="O40" s="1140"/>
      <c r="P40" s="3220"/>
      <c r="Q40" s="1810" t="str">
        <f t="shared" si="14"/>
        <v>临街宽度及深度</v>
      </c>
      <c r="R40" s="774" t="s">
        <v>17</v>
      </c>
      <c r="S40" s="775">
        <f t="shared" si="10"/>
        <v>100</v>
      </c>
      <c r="T40" s="774" t="s">
        <v>17</v>
      </c>
      <c r="U40" s="775">
        <f t="shared" si="11"/>
        <v>100</v>
      </c>
      <c r="V40" s="774" t="s">
        <v>17</v>
      </c>
      <c r="W40" s="775">
        <f t="shared" si="12"/>
        <v>100</v>
      </c>
      <c r="X40" s="1813"/>
      <c r="Y40" s="3220"/>
      <c r="Z40" s="1814" t="str">
        <f t="shared" si="13"/>
        <v>临街宽度及深度</v>
      </c>
      <c r="AA40" s="1811">
        <f t="shared" si="3"/>
        <v>1</v>
      </c>
      <c r="AB40" s="1811">
        <f t="shared" si="4"/>
        <v>1</v>
      </c>
      <c r="AC40" s="1811">
        <f t="shared" si="5"/>
        <v>1</v>
      </c>
    </row>
    <row r="41" spans="1:29" s="117" customFormat="1" ht="15">
      <c r="A41" s="473"/>
      <c r="B41" s="422" t="s">
        <v>2742</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33"/>
      <c r="M41" s="1134"/>
      <c r="N41" s="1134"/>
      <c r="O41" s="1135"/>
      <c r="P41" s="3220"/>
      <c r="Q41" s="1810"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2743</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41"/>
      <c r="M42" s="1132"/>
      <c r="N42" s="1132"/>
      <c r="O42" s="1140"/>
      <c r="P42" s="3220" t="s">
        <v>2553</v>
      </c>
      <c r="Q42" s="1810" t="str">
        <f t="shared" si="14"/>
        <v>工程地质条件</v>
      </c>
      <c r="R42" s="774" t="s">
        <v>17</v>
      </c>
      <c r="S42" s="775">
        <f t="shared" si="10"/>
        <v>100</v>
      </c>
      <c r="T42" s="774" t="s">
        <v>17</v>
      </c>
      <c r="U42" s="775">
        <f t="shared" si="11"/>
        <v>100</v>
      </c>
      <c r="V42" s="774" t="s">
        <v>17</v>
      </c>
      <c r="W42" s="775">
        <f t="shared" si="12"/>
        <v>100</v>
      </c>
      <c r="X42" s="1813"/>
      <c r="Y42" s="3220" t="s">
        <v>2553</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20"/>
      <c r="Q43" s="1810">
        <f t="shared" si="14"/>
        <v>111</v>
      </c>
      <c r="R43" s="774" t="s">
        <v>17</v>
      </c>
      <c r="S43" s="775">
        <f t="shared" si="10"/>
        <v>100</v>
      </c>
      <c r="T43" s="774" t="s">
        <v>17</v>
      </c>
      <c r="U43" s="775">
        <f t="shared" si="11"/>
        <v>100</v>
      </c>
      <c r="V43" s="774" t="s">
        <v>17</v>
      </c>
      <c r="W43" s="775">
        <f t="shared" si="12"/>
        <v>100</v>
      </c>
      <c r="X43" s="1813"/>
      <c r="Y43" s="3220"/>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20"/>
      <c r="Q44" s="1810">
        <f t="shared" si="14"/>
        <v>111</v>
      </c>
      <c r="R44" s="774" t="s">
        <v>17</v>
      </c>
      <c r="S44" s="775">
        <f t="shared" si="10"/>
        <v>100</v>
      </c>
      <c r="T44" s="774" t="s">
        <v>17</v>
      </c>
      <c r="U44" s="775">
        <f t="shared" si="11"/>
        <v>100</v>
      </c>
      <c r="V44" s="774" t="s">
        <v>17</v>
      </c>
      <c r="W44" s="775">
        <f t="shared" si="12"/>
        <v>100</v>
      </c>
      <c r="X44" s="1813"/>
      <c r="Y44" s="3220"/>
      <c r="Z44" s="1814">
        <f t="shared" si="13"/>
        <v>111</v>
      </c>
      <c r="AA44" s="1811">
        <f t="shared" si="3"/>
        <v>1</v>
      </c>
      <c r="AB44" s="1811">
        <f t="shared" si="4"/>
        <v>1</v>
      </c>
      <c r="AC44" s="1811">
        <f t="shared" si="5"/>
        <v>1</v>
      </c>
    </row>
    <row r="45" spans="1:29" s="471" customFormat="1" ht="15.75" thickBot="1">
      <c r="A45" s="468"/>
      <c r="B45" s="1388">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20"/>
      <c r="Q45" s="1810">
        <f t="shared" si="14"/>
        <v>111</v>
      </c>
      <c r="R45" s="777" t="s">
        <v>17</v>
      </c>
      <c r="S45" s="778">
        <f t="shared" si="10"/>
        <v>100</v>
      </c>
      <c r="T45" s="777" t="s">
        <v>17</v>
      </c>
      <c r="U45" s="778">
        <f t="shared" si="11"/>
        <v>100</v>
      </c>
      <c r="V45" s="777" t="s">
        <v>17</v>
      </c>
      <c r="W45" s="778">
        <f t="shared" si="12"/>
        <v>100</v>
      </c>
      <c r="X45" s="779"/>
      <c r="Y45" s="3220"/>
      <c r="Z45" s="780">
        <f t="shared" si="13"/>
        <v>111</v>
      </c>
      <c r="AA45" s="1811">
        <f t="shared" si="3"/>
        <v>1</v>
      </c>
      <c r="AB45" s="1811">
        <f t="shared" si="4"/>
        <v>1</v>
      </c>
      <c r="AC45" s="1811">
        <f t="shared" si="5"/>
        <v>1</v>
      </c>
    </row>
    <row r="46" spans="1:29" ht="15">
      <c r="A46" s="479" t="s">
        <v>2708</v>
      </c>
      <c r="B46" s="2693" t="s">
        <v>2744</v>
      </c>
      <c r="C46" s="682" t="s">
        <v>1</v>
      </c>
      <c r="D46" s="481"/>
      <c r="E46" s="482"/>
      <c r="F46" s="483"/>
      <c r="G46" s="484"/>
      <c r="H46" s="485"/>
      <c r="I46" s="482"/>
      <c r="J46" s="485"/>
      <c r="K46" s="783"/>
      <c r="L46" s="1144"/>
      <c r="M46" s="1145"/>
      <c r="N46" s="1132"/>
      <c r="O46" s="1145"/>
      <c r="P46" s="3222" t="str">
        <f>A46</f>
        <v>成交单价</v>
      </c>
      <c r="Q46" s="3222"/>
      <c r="R46" s="3210">
        <f>E46</f>
        <v>0</v>
      </c>
      <c r="S46" s="3210"/>
      <c r="T46" s="3210">
        <f>G46</f>
        <v>0</v>
      </c>
      <c r="U46" s="3210"/>
      <c r="V46" s="3210">
        <f>I46</f>
        <v>0</v>
      </c>
      <c r="W46" s="3210"/>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4"/>
      <c r="M47" s="1145"/>
      <c r="N47" s="1145"/>
      <c r="O47" s="1145"/>
      <c r="P47" s="3222" t="str">
        <f>A47</f>
        <v>比较价值（元/平方米）</v>
      </c>
      <c r="Q47" s="3222"/>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4"/>
      <c r="M48" s="1145"/>
      <c r="N48" s="1145"/>
      <c r="O48" s="1145"/>
      <c r="P48" s="3257" t="str">
        <f>A48</f>
        <v>估价对象XX用房的比较价值（楼面单价，元/平方米）</v>
      </c>
      <c r="Q48" s="3258"/>
      <c r="R48" s="3262" t="e">
        <f>ROUND(AVERAGE(R47:V47),0)</f>
        <v>#DIV/0!</v>
      </c>
      <c r="S48" s="3262"/>
      <c r="T48" s="3262"/>
      <c r="U48" s="3262"/>
      <c r="V48" s="3262"/>
      <c r="W48" s="3262"/>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2746</v>
      </c>
      <c r="B55" s="685" t="s">
        <v>2747</v>
      </c>
      <c r="C55" s="2694" t="s">
        <v>2748</v>
      </c>
      <c r="D55" s="2695" t="s">
        <v>2749</v>
      </c>
      <c r="E55" s="686" t="s">
        <v>2750</v>
      </c>
      <c r="F55" s="1108" t="s">
        <v>2751</v>
      </c>
      <c r="G55" s="3197" t="s">
        <v>2752</v>
      </c>
      <c r="H55" s="3263"/>
      <c r="I55" s="144" t="s">
        <v>2753</v>
      </c>
      <c r="J55" s="2696">
        <f>项目基本情况!F35</f>
        <v>0</v>
      </c>
      <c r="K55" s="2697" t="s">
        <v>2754</v>
      </c>
      <c r="L55" s="1107"/>
      <c r="M55" s="1145"/>
      <c r="N55" s="1145"/>
      <c r="O55" s="1145"/>
    </row>
    <row r="56" spans="1:15" s="692" customFormat="1">
      <c r="A56" s="688" t="s">
        <v>2755</v>
      </c>
      <c r="B56" s="689" t="e">
        <f>C48</f>
        <v>#DIV/0!</v>
      </c>
      <c r="C56" s="690">
        <v>1</v>
      </c>
      <c r="D56" s="1164">
        <v>1</v>
      </c>
      <c r="E56" s="690">
        <f>'数据-汇总表'!E8+'数据-汇总表'!E9</f>
        <v>1812.99</v>
      </c>
      <c r="F56" s="1104" t="e">
        <f t="shared" ref="F56:F65" si="15">ROUND(B56*E56/10000,0)</f>
        <v>#DIV/0!</v>
      </c>
      <c r="G56" s="3193"/>
      <c r="H56" s="3222"/>
      <c r="I56" s="1109">
        <v>1</v>
      </c>
      <c r="J56" s="1112">
        <v>1</v>
      </c>
      <c r="K56" s="1146"/>
      <c r="L56" s="944"/>
      <c r="M56" s="944"/>
      <c r="N56" s="944"/>
      <c r="O56" s="944"/>
    </row>
    <row r="57" spans="1:15" s="692" customFormat="1">
      <c r="A57" s="693" t="s">
        <v>2756</v>
      </c>
      <c r="B57" s="262" t="e">
        <f>ROUND($C$48*C57*D57,0)</f>
        <v>#DIV/0!</v>
      </c>
      <c r="C57" s="200">
        <f t="shared" ref="C57:C65" si="16">IF($C$55="北京市系数",I57,J57)</f>
        <v>0</v>
      </c>
      <c r="D57" s="1165">
        <v>0.25</v>
      </c>
      <c r="E57" s="694"/>
      <c r="F57" s="1104" t="e">
        <f t="shared" si="15"/>
        <v>#DIV/0!</v>
      </c>
      <c r="G57" s="3264" t="s">
        <v>2757</v>
      </c>
      <c r="H57" s="1105">
        <f>项目基本情况!B37</f>
        <v>0</v>
      </c>
      <c r="I57" s="1109">
        <f>SUMIF(修正!A45:A56,H57,修正!B45:B56)</f>
        <v>0</v>
      </c>
      <c r="J57" s="1113"/>
      <c r="K57" s="1145"/>
      <c r="L57" s="944"/>
      <c r="M57" s="944"/>
      <c r="N57" s="944"/>
      <c r="O57" s="944"/>
    </row>
    <row r="58" spans="1:15" s="692" customFormat="1">
      <c r="A58" s="693" t="s">
        <v>2758</v>
      </c>
      <c r="B58" s="262" t="e">
        <f t="shared" ref="B58:B65" si="17">ROUND($C$48*C58*D58,0)</f>
        <v>#DIV/0!</v>
      </c>
      <c r="C58" s="200">
        <f t="shared" si="16"/>
        <v>0</v>
      </c>
      <c r="D58" s="1165">
        <v>0.25</v>
      </c>
      <c r="E58" s="694"/>
      <c r="F58" s="1104" t="e">
        <f t="shared" si="15"/>
        <v>#DIV/0!</v>
      </c>
      <c r="G58" s="3264"/>
      <c r="H58" s="1105">
        <f>项目基本情况!B37</f>
        <v>0</v>
      </c>
      <c r="I58" s="1109">
        <f>SUMIF(修正!A45:A56,H58,修正!C45:C56)</f>
        <v>0</v>
      </c>
      <c r="J58" s="1113"/>
      <c r="K58" s="1146"/>
      <c r="L58" s="944"/>
      <c r="M58" s="944"/>
      <c r="N58" s="944"/>
      <c r="O58" s="944"/>
    </row>
    <row r="59" spans="1:15" s="692" customFormat="1">
      <c r="A59" s="693" t="s">
        <v>2759</v>
      </c>
      <c r="B59" s="262" t="e">
        <f t="shared" si="17"/>
        <v>#DIV/0!</v>
      </c>
      <c r="C59" s="200">
        <f t="shared" si="16"/>
        <v>0</v>
      </c>
      <c r="D59" s="1165">
        <v>0.25</v>
      </c>
      <c r="E59" s="694"/>
      <c r="F59" s="1104" t="e">
        <f t="shared" si="15"/>
        <v>#DIV/0!</v>
      </c>
      <c r="G59" s="3264"/>
      <c r="H59" s="1105">
        <f>项目基本情况!B37</f>
        <v>0</v>
      </c>
      <c r="I59" s="1109">
        <f>SUMIF(修正!A45:A56,H59,修正!D45:D56)</f>
        <v>0</v>
      </c>
      <c r="J59" s="1113"/>
      <c r="K59" s="1145"/>
      <c r="L59" s="944"/>
      <c r="M59" s="944"/>
      <c r="N59" s="944"/>
      <c r="O59" s="944"/>
    </row>
    <row r="60" spans="1:15" s="692" customFormat="1">
      <c r="A60" s="693" t="s">
        <v>2760</v>
      </c>
      <c r="B60" s="262" t="e">
        <f t="shared" si="17"/>
        <v>#DIV/0!</v>
      </c>
      <c r="C60" s="200">
        <f t="shared" si="16"/>
        <v>0</v>
      </c>
      <c r="D60" s="1165">
        <v>0.25</v>
      </c>
      <c r="E60" s="694"/>
      <c r="F60" s="1104" t="e">
        <f t="shared" si="15"/>
        <v>#DIV/0!</v>
      </c>
      <c r="G60" s="3264"/>
      <c r="H60" s="1105">
        <f>项目基本情况!B37</f>
        <v>0</v>
      </c>
      <c r="I60" s="1109">
        <f>SUMIF(修正!A45:A56,H60,修正!E45:E56)</f>
        <v>0</v>
      </c>
      <c r="J60" s="1113"/>
      <c r="K60" s="1146"/>
      <c r="L60" s="944"/>
      <c r="M60" s="944"/>
      <c r="N60" s="944"/>
      <c r="O60" s="944"/>
    </row>
    <row r="61" spans="1:15" s="692" customFormat="1">
      <c r="A61" s="693" t="s">
        <v>2761</v>
      </c>
      <c r="B61" s="262" t="e">
        <f t="shared" si="17"/>
        <v>#DIV/0!</v>
      </c>
      <c r="C61" s="200">
        <f t="shared" si="16"/>
        <v>0</v>
      </c>
      <c r="D61" s="1165">
        <v>0.25</v>
      </c>
      <c r="E61" s="261">
        <f>'数据-汇总表'!E11</f>
        <v>0</v>
      </c>
      <c r="F61" s="1104" t="e">
        <f t="shared" si="15"/>
        <v>#DIV/0!</v>
      </c>
      <c r="G61" s="2698" t="s">
        <v>2762</v>
      </c>
      <c r="H61" s="1105">
        <f>项目基本情况!C37</f>
        <v>0</v>
      </c>
      <c r="I61" s="1109">
        <f>SUMIF(修正!A45:A56,H61,修正!F45:F56)</f>
        <v>0</v>
      </c>
      <c r="J61" s="1113"/>
      <c r="K61" s="1145"/>
      <c r="L61" s="944"/>
      <c r="M61" s="944"/>
      <c r="N61" s="944"/>
      <c r="O61" s="944"/>
    </row>
    <row r="62" spans="1:15" s="692" customFormat="1">
      <c r="A62" s="693" t="s">
        <v>2763</v>
      </c>
      <c r="B62" s="262" t="e">
        <f t="shared" si="17"/>
        <v>#DIV/0!</v>
      </c>
      <c r="C62" s="200">
        <f t="shared" si="16"/>
        <v>0</v>
      </c>
      <c r="D62" s="1165">
        <v>0.25</v>
      </c>
      <c r="E62" s="261">
        <f>'数据-汇总表'!E12</f>
        <v>0</v>
      </c>
      <c r="F62" s="1104" t="e">
        <f t="shared" si="15"/>
        <v>#DIV/0!</v>
      </c>
      <c r="G62" s="1110" t="s">
        <v>2764</v>
      </c>
      <c r="H62" s="1105">
        <f>IF(G62="商业",项目基本情况!B37,IF(G62="办公",项目基本情况!C37,IF(G62="住宅",项目基本情况!D37,项目基本情况!E37)))</f>
        <v>0</v>
      </c>
      <c r="I62" s="1109">
        <f>SUMIF(修正!A45:A56,H62,修正!G45:G56)</f>
        <v>0</v>
      </c>
      <c r="J62" s="1113"/>
      <c r="K62" s="1146"/>
      <c r="L62" s="944"/>
      <c r="M62" s="944"/>
      <c r="N62" s="944"/>
      <c r="O62" s="944"/>
    </row>
    <row r="63" spans="1:15" s="692" customFormat="1">
      <c r="A63" s="693" t="s">
        <v>2765</v>
      </c>
      <c r="B63" s="262" t="e">
        <f t="shared" si="17"/>
        <v>#DIV/0!</v>
      </c>
      <c r="C63" s="200">
        <f t="shared" si="16"/>
        <v>0</v>
      </c>
      <c r="D63" s="1165">
        <v>0.25</v>
      </c>
      <c r="E63" s="261">
        <f>'数据-汇总表'!E13</f>
        <v>0</v>
      </c>
      <c r="F63" s="1104" t="e">
        <f t="shared" si="15"/>
        <v>#DIV/0!</v>
      </c>
      <c r="G63" s="1110" t="s">
        <v>2766</v>
      </c>
      <c r="H63" s="1105">
        <f>IF(G63="商业",项目基本情况!B37,IF(G63="办公",项目基本情况!C37,IF(G63="住宅",项目基本情况!D37,项目基本情况!E37)))</f>
        <v>0</v>
      </c>
      <c r="I63" s="1109">
        <f>SUMIF(修正!A45:A56,H63,修正!H45:H56)</f>
        <v>0</v>
      </c>
      <c r="J63" s="1113"/>
      <c r="K63" s="1145"/>
      <c r="L63" s="944"/>
      <c r="M63" s="944"/>
      <c r="N63" s="944"/>
      <c r="O63" s="944"/>
    </row>
    <row r="64" spans="1:15" s="692" customFormat="1">
      <c r="A64" s="693" t="s">
        <v>2767</v>
      </c>
      <c r="B64" s="262" t="e">
        <f t="shared" si="17"/>
        <v>#DIV/0!</v>
      </c>
      <c r="C64" s="200">
        <f t="shared" si="16"/>
        <v>0</v>
      </c>
      <c r="D64" s="1165">
        <v>0.25</v>
      </c>
      <c r="E64" s="261">
        <f>'数据-汇总表'!E14</f>
        <v>0</v>
      </c>
      <c r="F64" s="1104" t="e">
        <f t="shared" si="15"/>
        <v>#DIV/0!</v>
      </c>
      <c r="G64" s="2698" t="s">
        <v>2757</v>
      </c>
      <c r="H64" s="1105">
        <f>项目基本情况!B37</f>
        <v>0</v>
      </c>
      <c r="I64" s="1109">
        <f>SUMIF(修正!A45:A56,H64,修正!H45:H56)</f>
        <v>0</v>
      </c>
      <c r="J64" s="1113"/>
      <c r="K64" s="1146"/>
      <c r="L64" s="944"/>
      <c r="M64" s="944"/>
      <c r="N64" s="944"/>
      <c r="O64" s="944"/>
    </row>
    <row r="65" spans="1:17" s="692" customFormat="1" ht="15" thickBot="1">
      <c r="A65" s="693" t="s">
        <v>2768</v>
      </c>
      <c r="B65" s="262" t="e">
        <f t="shared" si="17"/>
        <v>#DIV/0!</v>
      </c>
      <c r="C65" s="200">
        <f t="shared" si="16"/>
        <v>0</v>
      </c>
      <c r="D65" s="1165">
        <v>0.25</v>
      </c>
      <c r="E65" s="261">
        <f>'数据-汇总表'!E15</f>
        <v>0</v>
      </c>
      <c r="F65" s="1104" t="e">
        <f t="shared" si="15"/>
        <v>#DIV/0!</v>
      </c>
      <c r="G65" s="2699" t="s">
        <v>2762</v>
      </c>
      <c r="H65" s="1115">
        <f>项目基本情况!C37</f>
        <v>0</v>
      </c>
      <c r="I65" s="1111">
        <f>SUMIF(修正!A45:A56,H65,修正!H45:H56)</f>
        <v>0</v>
      </c>
      <c r="J65" s="1114"/>
      <c r="K65" s="1145"/>
      <c r="L65" s="944"/>
      <c r="M65" s="944"/>
      <c r="N65" s="944"/>
      <c r="O65" s="944"/>
    </row>
    <row r="66" spans="1:17" s="692" customFormat="1" ht="13.5" thickBot="1">
      <c r="A66" s="695" t="s">
        <v>2769</v>
      </c>
      <c r="B66" s="696" t="s">
        <v>28</v>
      </c>
      <c r="C66" s="696" t="s">
        <v>29</v>
      </c>
      <c r="D66" s="696" t="s">
        <v>1029</v>
      </c>
      <c r="E66" s="696">
        <f>IF(B46="楼面地价",SUM(E56:E65),'数据-汇总表'!D3)</f>
        <v>1812.99</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2662</v>
      </c>
      <c r="B69" s="759"/>
      <c r="C69" s="764"/>
      <c r="D69" s="764"/>
      <c r="E69" s="764"/>
      <c r="F69" s="765"/>
      <c r="G69" s="765"/>
      <c r="H69" s="764"/>
      <c r="I69" s="764"/>
      <c r="J69" s="1160"/>
      <c r="K69" s="1161"/>
      <c r="L69" s="1162"/>
      <c r="M69" s="1160"/>
      <c r="N69" s="1160"/>
      <c r="O69" s="1160"/>
      <c r="P69" s="503"/>
      <c r="Q69" s="504"/>
    </row>
    <row r="70" spans="1:17" s="508" customFormat="1" ht="15">
      <c r="A70" s="2700" t="s">
        <v>2770</v>
      </c>
      <c r="B70" s="1360"/>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7"/>
    </row>
    <row r="71" spans="1:17" s="117" customFormat="1" ht="30" customHeight="1">
      <c r="A71" s="2701" t="s">
        <v>2771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7"/>
      <c r="N71" s="595"/>
      <c r="O71" s="1568"/>
      <c r="P71" s="504"/>
    </row>
    <row r="72" spans="1:17" s="117" customFormat="1" ht="15.75" thickBot="1">
      <c r="A72" s="515" t="s">
        <v>2573</v>
      </c>
      <c r="B72" s="516"/>
      <c r="C72" s="517"/>
      <c r="D72" s="518"/>
      <c r="E72" s="518"/>
      <c r="F72" s="518"/>
      <c r="G72" s="518"/>
      <c r="H72" s="518"/>
      <c r="I72" s="518"/>
      <c r="J72" s="518"/>
      <c r="K72" s="518"/>
      <c r="L72" s="518"/>
      <c r="M72" s="519"/>
      <c r="N72" s="518"/>
      <c r="O72" s="1163"/>
      <c r="P72" s="504"/>
      <c r="Q72" s="504"/>
    </row>
    <row r="73" spans="1:17" s="117" customFormat="1" ht="15">
      <c r="A73" s="521" t="s">
        <v>2538</v>
      </c>
      <c r="B73" s="510"/>
      <c r="C73" s="522" t="s">
        <v>2640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2576</v>
      </c>
      <c r="B75" s="528" t="s">
        <v>2542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2545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97" t="s">
        <v>2634</v>
      </c>
      <c r="D4" s="3198"/>
      <c r="E4" s="3199" t="s">
        <v>2635</v>
      </c>
      <c r="F4" s="3200"/>
      <c r="G4" s="3197" t="s">
        <v>2636</v>
      </c>
      <c r="H4" s="3198"/>
      <c r="I4" s="3197" t="s">
        <v>2637</v>
      </c>
      <c r="J4" s="3198"/>
      <c r="K4" s="610" t="s">
        <v>2638</v>
      </c>
      <c r="L4" s="1131"/>
      <c r="M4" s="1132"/>
      <c r="N4" s="1132"/>
      <c r="O4" s="1132"/>
      <c r="P4" s="3253" t="s">
        <v>2639</v>
      </c>
      <c r="Q4" s="3254"/>
      <c r="R4" s="3250" t="s">
        <v>2635</v>
      </c>
      <c r="S4" s="3251"/>
      <c r="T4" s="3250" t="s">
        <v>2636</v>
      </c>
      <c r="U4" s="3251"/>
      <c r="V4" s="3210" t="s">
        <v>2637</v>
      </c>
      <c r="W4" s="3210"/>
      <c r="X4" s="1813"/>
      <c r="Y4" s="3250" t="s">
        <v>2639</v>
      </c>
      <c r="Z4" s="3251"/>
      <c r="AA4" s="3249" t="s">
        <v>2635</v>
      </c>
      <c r="AB4" s="3175" t="s">
        <v>2636</v>
      </c>
      <c r="AC4" s="3249" t="s">
        <v>2637</v>
      </c>
    </row>
    <row r="5" spans="1:29" ht="15">
      <c r="A5" s="404"/>
      <c r="B5" s="405"/>
      <c r="C5" s="3189" t="s">
        <v>2530</v>
      </c>
      <c r="D5" s="3186"/>
      <c r="E5" s="3252" t="s">
        <v>2531</v>
      </c>
      <c r="F5" s="3184"/>
      <c r="G5" s="3189" t="s">
        <v>2532</v>
      </c>
      <c r="H5" s="3186"/>
      <c r="I5" s="3189" t="s">
        <v>2533</v>
      </c>
      <c r="J5" s="3186"/>
      <c r="K5" s="610"/>
      <c r="L5" s="1131"/>
      <c r="M5" s="1132"/>
      <c r="N5" s="1132"/>
      <c r="O5" s="1132"/>
      <c r="P5" s="3255"/>
      <c r="Q5" s="3204"/>
      <c r="R5" s="3181"/>
      <c r="S5" s="3182"/>
      <c r="T5" s="3181"/>
      <c r="U5" s="3182"/>
      <c r="V5" s="3210"/>
      <c r="W5" s="3210"/>
      <c r="X5" s="1813"/>
      <c r="Y5" s="3181"/>
      <c r="Z5" s="3182"/>
      <c r="AA5" s="3175"/>
      <c r="AB5" s="3175"/>
      <c r="AC5" s="3175"/>
    </row>
    <row r="6" spans="1:29" ht="15.75" thickBot="1">
      <c r="A6" s="406"/>
      <c r="B6" s="407"/>
      <c r="C6" s="3265" t="s">
        <v>2785</v>
      </c>
      <c r="D6" s="3266"/>
      <c r="E6" s="3267" t="s">
        <v>2785</v>
      </c>
      <c r="F6" s="3268"/>
      <c r="G6" s="3265" t="s">
        <v>2785</v>
      </c>
      <c r="H6" s="3266"/>
      <c r="I6" s="3265" t="s">
        <v>2785</v>
      </c>
      <c r="J6" s="3266"/>
      <c r="K6" s="610" t="s">
        <v>2535</v>
      </c>
      <c r="L6" s="1131"/>
      <c r="M6" s="1132"/>
      <c r="N6" s="1132"/>
      <c r="O6" s="1132"/>
      <c r="P6" s="3256"/>
      <c r="Q6" s="3206"/>
      <c r="R6" s="3181"/>
      <c r="S6" s="3182"/>
      <c r="T6" s="3207"/>
      <c r="U6" s="3208"/>
      <c r="V6" s="3210"/>
      <c r="W6" s="3210"/>
      <c r="X6" s="1813"/>
      <c r="Y6" s="3207"/>
      <c r="Z6" s="3208"/>
      <c r="AA6" s="3176"/>
      <c r="AB6" s="3176"/>
      <c r="AC6" s="3176"/>
    </row>
    <row r="7" spans="1:29" s="117" customFormat="1" ht="15.75" thickBot="1">
      <c r="A7" s="408" t="s">
        <v>2536</v>
      </c>
      <c r="B7" s="409"/>
      <c r="C7" s="410">
        <f>'数据-取费表'!B2</f>
        <v>43293</v>
      </c>
      <c r="D7" s="411">
        <v>100</v>
      </c>
      <c r="E7" s="412"/>
      <c r="F7" s="413">
        <f>SUMIF(65:65,YEAR(E7)&amp;"-"&amp;INT((MONTH(E7)+2)/3),66:66)</f>
        <v>0</v>
      </c>
      <c r="G7" s="2685"/>
      <c r="H7" s="411">
        <f>SUMIF(65:65,YEAR(G7)&amp;"-"&amp;INT((MONTH(G7)+2)/3),66:66)</f>
        <v>0</v>
      </c>
      <c r="I7" s="2685"/>
      <c r="J7" s="411">
        <f>SUMIF(65:65,YEAR(I7)&amp;"-"&amp;INT((MONTH(I7)+2)/3),66:66)</f>
        <v>0</v>
      </c>
      <c r="K7" s="611"/>
      <c r="L7" s="1133"/>
      <c r="M7" s="1134"/>
      <c r="N7" s="1134"/>
      <c r="O7" s="1134"/>
      <c r="P7" s="3177" t="s">
        <v>2537</v>
      </c>
      <c r="Q7" s="3212"/>
      <c r="R7" s="770" t="s">
        <v>17</v>
      </c>
      <c r="S7" s="771">
        <f t="shared" ref="S7:S15" si="0">F7</f>
        <v>0</v>
      </c>
      <c r="T7" s="770" t="s">
        <v>17</v>
      </c>
      <c r="U7" s="771">
        <f t="shared" ref="U7:U15" si="1">H7</f>
        <v>0</v>
      </c>
      <c r="V7" s="770" t="s">
        <v>17</v>
      </c>
      <c r="W7" s="771">
        <f t="shared" ref="W7:W15" si="2">J7</f>
        <v>0</v>
      </c>
      <c r="X7" s="772"/>
      <c r="Y7" s="3177" t="s">
        <v>2537</v>
      </c>
      <c r="Z7" s="3178"/>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77" t="s">
        <v>2540</v>
      </c>
      <c r="Q8" s="3178"/>
      <c r="R8" s="770" t="s">
        <v>17</v>
      </c>
      <c r="S8" s="771">
        <f t="shared" si="0"/>
        <v>0</v>
      </c>
      <c r="T8" s="770" t="s">
        <v>17</v>
      </c>
      <c r="U8" s="771">
        <f t="shared" si="1"/>
        <v>0</v>
      </c>
      <c r="V8" s="770" t="s">
        <v>17</v>
      </c>
      <c r="W8" s="771">
        <f t="shared" si="2"/>
        <v>0</v>
      </c>
      <c r="X8" s="772"/>
      <c r="Y8" s="3177" t="s">
        <v>2540</v>
      </c>
      <c r="Z8" s="3178"/>
      <c r="AA8" s="773" t="e">
        <f t="shared" ref="AA8:AA40" si="3">D8/F8</f>
        <v>#DIV/0!</v>
      </c>
      <c r="AB8" s="773" t="e">
        <f t="shared" ref="AB8:AB40" si="4">D8/H8</f>
        <v>#DIV/0!</v>
      </c>
      <c r="AC8" s="773" t="e">
        <f t="shared" ref="AC8:AC40" si="5">D8/J8</f>
        <v>#DIV/0!</v>
      </c>
    </row>
    <row r="9" spans="1:29" s="117" customFormat="1">
      <c r="A9" s="415" t="s">
        <v>2541</v>
      </c>
      <c r="B9" s="71" t="s">
        <v>2542</v>
      </c>
      <c r="C9" s="2688"/>
      <c r="D9" s="135">
        <v>100</v>
      </c>
      <c r="E9" s="2688"/>
      <c r="F9" s="135">
        <f>SUMIF(70:70,E9,71:71)-SUMIF(70:70,C9,71:71)+100</f>
        <v>100</v>
      </c>
      <c r="G9" s="2688"/>
      <c r="H9" s="135">
        <f>SUMIF(70:70,G9,71:71)-SUMIF(70:70,C9,71:71)+100</f>
        <v>100</v>
      </c>
      <c r="I9" s="2688"/>
      <c r="J9" s="135">
        <f>SUMIF(70:70,I9,71:71)-SUMIF(70:70,C9,71:71)+100</f>
        <v>100</v>
      </c>
      <c r="K9" s="611"/>
      <c r="L9" s="1133"/>
      <c r="M9" s="1134"/>
      <c r="N9" s="1134"/>
      <c r="O9" s="1135"/>
      <c r="P9" s="3222" t="s">
        <v>2543</v>
      </c>
      <c r="Q9" s="1795" t="str">
        <f t="shared" ref="Q9:Q15" si="6">B9</f>
        <v>用途</v>
      </c>
      <c r="R9" s="770" t="s">
        <v>17</v>
      </c>
      <c r="S9" s="771">
        <f t="shared" si="0"/>
        <v>100</v>
      </c>
      <c r="T9" s="770" t="s">
        <v>17</v>
      </c>
      <c r="U9" s="771">
        <f t="shared" si="1"/>
        <v>100</v>
      </c>
      <c r="V9" s="770" t="s">
        <v>17</v>
      </c>
      <c r="W9" s="771">
        <f t="shared" si="2"/>
        <v>100</v>
      </c>
      <c r="X9" s="772"/>
      <c r="Y9" s="3046"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111</v>
      </c>
      <c r="G10" s="432"/>
      <c r="H10" s="136">
        <f>ROUND(100/'数据-取费表'!G16,0)</f>
        <v>111</v>
      </c>
      <c r="I10" s="432"/>
      <c r="J10" s="136">
        <f>ROUND(100/'数据-取费表'!G16,0)</f>
        <v>111</v>
      </c>
      <c r="K10" s="672"/>
      <c r="L10" s="1136"/>
      <c r="M10" s="1137"/>
      <c r="N10" s="1137"/>
      <c r="O10" s="1138"/>
      <c r="P10" s="3222"/>
      <c r="Q10" s="1795" t="str">
        <f t="shared" si="6"/>
        <v>土地使用年限（年）</v>
      </c>
      <c r="R10" s="770" t="s">
        <v>17</v>
      </c>
      <c r="S10" s="771">
        <f t="shared" si="0"/>
        <v>111</v>
      </c>
      <c r="T10" s="770" t="s">
        <v>17</v>
      </c>
      <c r="U10" s="771">
        <f t="shared" si="1"/>
        <v>111</v>
      </c>
      <c r="V10" s="770" t="s">
        <v>17</v>
      </c>
      <c r="W10" s="771">
        <f t="shared" si="2"/>
        <v>111</v>
      </c>
      <c r="X10" s="772"/>
      <c r="Y10" s="3046"/>
      <c r="Z10" s="55" t="str">
        <f t="shared" si="7"/>
        <v>土地使用年限（年）</v>
      </c>
      <c r="AA10" s="773">
        <f t="shared" si="3"/>
        <v>0.90090090090090091</v>
      </c>
      <c r="AB10" s="773">
        <f t="shared" si="4"/>
        <v>0.90090090090090091</v>
      </c>
      <c r="AC10" s="773">
        <f t="shared" si="5"/>
        <v>0.90090090090090091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22"/>
      <c r="Q11" s="1795"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22"/>
      <c r="Q12" s="1795">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22"/>
      <c r="Q13" s="1795">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22"/>
      <c r="Q14" s="1795">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2547</v>
      </c>
      <c r="B15" s="629" t="s">
        <v>2786</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15" t="s">
        <v>2548</v>
      </c>
      <c r="Q15" s="1810" t="str">
        <f t="shared" si="6"/>
        <v>产业集聚程度</v>
      </c>
      <c r="R15" s="774" t="s">
        <v>17</v>
      </c>
      <c r="S15" s="775">
        <f t="shared" si="0"/>
        <v>100</v>
      </c>
      <c r="T15" s="774" t="s">
        <v>17</v>
      </c>
      <c r="U15" s="775">
        <f t="shared" si="1"/>
        <v>100</v>
      </c>
      <c r="V15" s="774" t="s">
        <v>17</v>
      </c>
      <c r="W15" s="775">
        <f t="shared" si="2"/>
        <v>100</v>
      </c>
      <c r="X15" s="1813"/>
      <c r="Y15" s="3215" t="s">
        <v>2548</v>
      </c>
      <c r="Z15" s="1814" t="str">
        <f t="shared" si="7"/>
        <v>产业集聚程度</v>
      </c>
      <c r="AA15" s="1811">
        <f t="shared" si="3"/>
        <v>1</v>
      </c>
      <c r="AB15" s="1811">
        <f t="shared" si="4"/>
        <v>1</v>
      </c>
      <c r="AC15" s="1811">
        <f t="shared" si="5"/>
        <v>1</v>
      </c>
    </row>
    <row r="16" spans="1:29" ht="15">
      <c r="A16" s="428"/>
      <c r="B16" s="630"/>
      <c r="C16" s="447"/>
      <c r="D16" s="448"/>
      <c r="E16" s="2600"/>
      <c r="F16" s="448"/>
      <c r="G16" s="2600"/>
      <c r="H16" s="450"/>
      <c r="I16" s="2600"/>
      <c r="J16" s="448"/>
      <c r="K16" s="672"/>
      <c r="L16" s="1141"/>
      <c r="M16" s="1132"/>
      <c r="N16" s="1132"/>
      <c r="O16" s="1140"/>
      <c r="P16" s="3216"/>
      <c r="Q16" s="1810"/>
      <c r="R16" s="774"/>
      <c r="S16" s="775"/>
      <c r="T16" s="774"/>
      <c r="U16" s="775"/>
      <c r="V16" s="774"/>
      <c r="W16" s="775"/>
      <c r="X16" s="1813"/>
      <c r="Y16" s="3216"/>
      <c r="Z16" s="1814"/>
      <c r="AA16" s="1811">
        <v>1</v>
      </c>
      <c r="AB16" s="1811">
        <v>1</v>
      </c>
      <c r="AC16" s="1811">
        <v>1</v>
      </c>
    </row>
    <row r="17" spans="1:29" ht="85.5">
      <c r="A17" s="428"/>
      <c r="B17" s="631" t="s">
        <v>2697</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16"/>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632"/>
      <c r="C18" s="447"/>
      <c r="D18" s="448"/>
      <c r="E18" s="2594"/>
      <c r="F18" s="448"/>
      <c r="G18" s="2594"/>
      <c r="H18" s="448"/>
      <c r="I18" s="2593"/>
      <c r="J18" s="448"/>
      <c r="K18" s="672"/>
      <c r="L18" s="1141"/>
      <c r="M18" s="1132"/>
      <c r="N18" s="1132"/>
      <c r="O18" s="1140"/>
      <c r="P18" s="3216"/>
      <c r="Q18" s="1810"/>
      <c r="R18" s="774"/>
      <c r="S18" s="775"/>
      <c r="T18" s="774"/>
      <c r="U18" s="775"/>
      <c r="V18" s="774"/>
      <c r="W18" s="775"/>
      <c r="X18" s="1813"/>
      <c r="Y18" s="3216"/>
      <c r="Z18" s="1814"/>
      <c r="AA18" s="1811">
        <v>1</v>
      </c>
      <c r="AB18" s="1811">
        <v>1</v>
      </c>
      <c r="AC18" s="1811">
        <v>1</v>
      </c>
    </row>
    <row r="19" spans="1:29" ht="15">
      <c r="A19" s="428"/>
      <c r="B19" s="631" t="s">
        <v>2736</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16"/>
      <c r="Q19" s="1810" t="str">
        <f t="shared" ref="Q19:Q33" si="8">B19</f>
        <v>区域土地利用方向</v>
      </c>
      <c r="R19" s="774" t="s">
        <v>17</v>
      </c>
      <c r="S19" s="775">
        <f>F19</f>
        <v>100</v>
      </c>
      <c r="T19" s="774" t="s">
        <v>17</v>
      </c>
      <c r="U19" s="775">
        <f>H19</f>
        <v>100</v>
      </c>
      <c r="V19" s="774" t="s">
        <v>17</v>
      </c>
      <c r="W19" s="775">
        <f>J19</f>
        <v>100</v>
      </c>
      <c r="X19" s="1813"/>
      <c r="Y19" s="3216"/>
      <c r="Z19" s="1814" t="str">
        <f>Q19</f>
        <v>区域土地利用方向</v>
      </c>
      <c r="AA19" s="1811">
        <f t="shared" si="3"/>
        <v>1</v>
      </c>
      <c r="AB19" s="1811">
        <f t="shared" si="4"/>
        <v>1</v>
      </c>
      <c r="AC19" s="1811">
        <f t="shared" si="5"/>
        <v>1</v>
      </c>
    </row>
    <row r="20" spans="1:29" ht="15">
      <c r="A20" s="404"/>
      <c r="B20" s="632"/>
      <c r="C20" s="447"/>
      <c r="D20" s="448"/>
      <c r="E20" s="2594"/>
      <c r="F20" s="448"/>
      <c r="G20" s="2594"/>
      <c r="H20" s="448"/>
      <c r="I20" s="2594"/>
      <c r="J20" s="448"/>
      <c r="K20" s="812"/>
      <c r="L20" s="1141"/>
      <c r="M20" s="1132"/>
      <c r="N20" s="1132"/>
      <c r="O20" s="1140"/>
      <c r="P20" s="3216"/>
      <c r="Q20" s="1810"/>
      <c r="R20" s="774"/>
      <c r="S20" s="775"/>
      <c r="T20" s="774"/>
      <c r="U20" s="775"/>
      <c r="V20" s="774"/>
      <c r="W20" s="775"/>
      <c r="X20" s="1813"/>
      <c r="Y20" s="3216"/>
      <c r="Z20" s="1814"/>
      <c r="AA20" s="1811"/>
      <c r="AB20" s="1811"/>
      <c r="AC20" s="1811"/>
    </row>
    <row r="21" spans="1:29" ht="71.25">
      <c r="A21" s="404"/>
      <c r="B21" s="631" t="s">
        <v>2787</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16"/>
      <c r="Q21" s="1810" t="str">
        <f t="shared" si="8"/>
        <v>环境状况</v>
      </c>
      <c r="R21" s="774" t="s">
        <v>17</v>
      </c>
      <c r="S21" s="775">
        <f>F21</f>
        <v>100</v>
      </c>
      <c r="T21" s="774" t="s">
        <v>17</v>
      </c>
      <c r="U21" s="775">
        <f>H21</f>
        <v>100</v>
      </c>
      <c r="V21" s="774" t="s">
        <v>17</v>
      </c>
      <c r="W21" s="775">
        <f>J21</f>
        <v>100</v>
      </c>
      <c r="X21" s="1813"/>
      <c r="Y21" s="3216"/>
      <c r="Z21" s="1814" t="str">
        <f>Q21</f>
        <v>环境状况</v>
      </c>
      <c r="AA21" s="1811">
        <f t="shared" si="3"/>
        <v>1</v>
      </c>
      <c r="AB21" s="1811">
        <f t="shared" si="4"/>
        <v>1</v>
      </c>
      <c r="AC21" s="1811">
        <f t="shared" si="5"/>
        <v>1</v>
      </c>
    </row>
    <row r="22" spans="1:29" ht="15">
      <c r="A22" s="404"/>
      <c r="B22" s="632"/>
      <c r="C22" s="447"/>
      <c r="D22" s="448"/>
      <c r="E22" s="2600"/>
      <c r="F22" s="448"/>
      <c r="G22" s="2600"/>
      <c r="H22" s="448"/>
      <c r="I22" s="447"/>
      <c r="J22" s="448"/>
      <c r="K22" s="672"/>
      <c r="L22" s="1141"/>
      <c r="M22" s="1132"/>
      <c r="N22" s="1132"/>
      <c r="O22" s="1140"/>
      <c r="P22" s="3216"/>
      <c r="Q22" s="1810"/>
      <c r="R22" s="774"/>
      <c r="S22" s="775"/>
      <c r="T22" s="774"/>
      <c r="U22" s="775"/>
      <c r="V22" s="774"/>
      <c r="W22" s="775"/>
      <c r="X22" s="1813"/>
      <c r="Y22" s="3216"/>
      <c r="Z22" s="1814"/>
      <c r="AA22" s="1811">
        <v>1</v>
      </c>
      <c r="AB22" s="1811">
        <v>1</v>
      </c>
      <c r="AC22" s="1811">
        <v>1</v>
      </c>
    </row>
    <row r="23" spans="1:29" s="117" customFormat="1" ht="42.75">
      <c r="A23" s="649"/>
      <c r="B23" s="633" t="s">
        <v>2642</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16"/>
      <c r="Q23" s="1795" t="str">
        <f t="shared" si="8"/>
        <v>公共配套设施</v>
      </c>
      <c r="R23" s="770" t="s">
        <v>17</v>
      </c>
      <c r="S23" s="771">
        <f>F23</f>
        <v>100</v>
      </c>
      <c r="T23" s="770" t="s">
        <v>17</v>
      </c>
      <c r="U23" s="771">
        <f>H23</f>
        <v>100</v>
      </c>
      <c r="V23" s="770" t="s">
        <v>17</v>
      </c>
      <c r="W23" s="771">
        <f>J23</f>
        <v>100</v>
      </c>
      <c r="X23" s="772"/>
      <c r="Y23" s="3216"/>
      <c r="Z23" s="55" t="str">
        <f>Q23</f>
        <v>公共配套设施</v>
      </c>
      <c r="AA23" s="1811">
        <f>D23/F23</f>
        <v>1</v>
      </c>
      <c r="AB23" s="1811">
        <f>D23/H23</f>
        <v>1</v>
      </c>
      <c r="AC23" s="1811">
        <f>D23/J23</f>
        <v>1</v>
      </c>
    </row>
    <row r="24" spans="1:29" s="117" customFormat="1" ht="15">
      <c r="A24" s="649"/>
      <c r="B24" s="632"/>
      <c r="C24" s="2689"/>
      <c r="D24" s="448"/>
      <c r="E24" s="2600"/>
      <c r="F24" s="448"/>
      <c r="G24" s="2600"/>
      <c r="H24" s="448"/>
      <c r="I24" s="447"/>
      <c r="J24" s="448"/>
      <c r="K24" s="672"/>
      <c r="L24" s="1133"/>
      <c r="M24" s="1134"/>
      <c r="N24" s="1134"/>
      <c r="O24" s="1135"/>
      <c r="P24" s="3216"/>
      <c r="Q24" s="1795"/>
      <c r="R24" s="770"/>
      <c r="S24" s="771"/>
      <c r="T24" s="770"/>
      <c r="U24" s="771"/>
      <c r="V24" s="770"/>
      <c r="W24" s="771"/>
      <c r="X24" s="772"/>
      <c r="Y24" s="3216"/>
      <c r="Z24" s="55"/>
      <c r="AA24" s="773">
        <v>1</v>
      </c>
      <c r="AB24" s="773">
        <v>1</v>
      </c>
      <c r="AC24" s="773">
        <v>1</v>
      </c>
    </row>
    <row r="25" spans="1:29" s="117" customFormat="1" ht="28.5">
      <c r="A25" s="649"/>
      <c r="B25" s="633" t="s">
        <v>2643</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16"/>
      <c r="Q25" s="1795"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1">
        <f>D25/F25</f>
        <v>1</v>
      </c>
      <c r="AB25" s="1811">
        <f>D25/H25</f>
        <v>1</v>
      </c>
      <c r="AC25" s="1811">
        <f>D25/J25</f>
        <v>1</v>
      </c>
    </row>
    <row r="26" spans="1:29" s="117" customFormat="1" ht="15">
      <c r="A26" s="649"/>
      <c r="B26" s="632"/>
      <c r="C26" s="2689"/>
      <c r="D26" s="448"/>
      <c r="E26" s="2690"/>
      <c r="F26" s="448"/>
      <c r="G26" s="2690"/>
      <c r="H26" s="448"/>
      <c r="I26" s="2690"/>
      <c r="J26" s="448"/>
      <c r="K26" s="672"/>
      <c r="L26" s="1133"/>
      <c r="M26" s="1134"/>
      <c r="N26" s="1134"/>
      <c r="O26" s="1135"/>
      <c r="P26" s="3216"/>
      <c r="Q26" s="1795"/>
      <c r="R26" s="770"/>
      <c r="S26" s="771"/>
      <c r="T26" s="770"/>
      <c r="U26" s="771"/>
      <c r="V26" s="770"/>
      <c r="W26" s="771"/>
      <c r="X26" s="772"/>
      <c r="Y26" s="3216"/>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1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6"/>
      <c r="Z27" s="1814" t="str">
        <f t="shared" ref="Z27:Z40" si="13">Q27</f>
        <v>临街状况</v>
      </c>
      <c r="AA27" s="1811">
        <f t="shared" si="3"/>
        <v>1</v>
      </c>
      <c r="AB27" s="1811">
        <f t="shared" si="4"/>
        <v>1</v>
      </c>
      <c r="AC27" s="1811">
        <f t="shared" si="5"/>
        <v>1</v>
      </c>
    </row>
    <row r="28" spans="1:29" ht="27">
      <c r="A28" s="428"/>
      <c r="B28" s="633" t="s">
        <v>2679</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16"/>
      <c r="Q28" s="1810" t="str">
        <f t="shared" si="8"/>
        <v>毗邻道路的类型与等级</v>
      </c>
      <c r="R28" s="774" t="s">
        <v>17</v>
      </c>
      <c r="S28" s="775">
        <f t="shared" si="10"/>
        <v>100</v>
      </c>
      <c r="T28" s="774" t="s">
        <v>17</v>
      </c>
      <c r="U28" s="775">
        <f t="shared" si="11"/>
        <v>100</v>
      </c>
      <c r="V28" s="774" t="s">
        <v>17</v>
      </c>
      <c r="W28" s="775">
        <f t="shared" si="12"/>
        <v>100</v>
      </c>
      <c r="X28" s="1813"/>
      <c r="Y28" s="3216"/>
      <c r="Z28" s="1814" t="str">
        <f t="shared" si="13"/>
        <v>毗邻道路的类型与等级</v>
      </c>
      <c r="AA28" s="1811">
        <f t="shared" si="3"/>
        <v>1</v>
      </c>
      <c r="AB28" s="1811">
        <f t="shared" si="4"/>
        <v>1</v>
      </c>
      <c r="AC28" s="1811">
        <f t="shared" si="5"/>
        <v>1</v>
      </c>
    </row>
    <row r="29" spans="1:29" ht="15">
      <c r="A29" s="428"/>
      <c r="B29" s="632"/>
      <c r="C29" s="447"/>
      <c r="D29" s="448"/>
      <c r="E29" s="2600"/>
      <c r="F29" s="448"/>
      <c r="G29" s="2600"/>
      <c r="H29" s="448"/>
      <c r="I29" s="2600"/>
      <c r="J29" s="448"/>
      <c r="K29" s="613"/>
      <c r="L29" s="1141"/>
      <c r="M29" s="1132"/>
      <c r="N29" s="1132"/>
      <c r="O29" s="1140"/>
      <c r="P29" s="3216"/>
      <c r="Q29" s="1810"/>
      <c r="R29" s="774"/>
      <c r="S29" s="775"/>
      <c r="T29" s="774"/>
      <c r="U29" s="775"/>
      <c r="V29" s="774"/>
      <c r="W29" s="775"/>
      <c r="X29" s="1813"/>
      <c r="Y29" s="3216"/>
      <c r="Z29" s="1814"/>
      <c r="AA29" s="1811">
        <v>1</v>
      </c>
      <c r="AB29" s="1811">
        <v>1</v>
      </c>
      <c r="AC29" s="1811">
        <v>1</v>
      </c>
    </row>
    <row r="30" spans="1:29" ht="15">
      <c r="A30" s="428"/>
      <c r="B30" s="654" t="s">
        <v>2738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16"/>
      <c r="Q30" s="1810" t="str">
        <f t="shared" si="8"/>
        <v>土地级别</v>
      </c>
      <c r="R30" s="774" t="s">
        <v>17</v>
      </c>
      <c r="S30" s="775">
        <f t="shared" si="10"/>
        <v>100</v>
      </c>
      <c r="T30" s="774" t="s">
        <v>17</v>
      </c>
      <c r="U30" s="775">
        <f t="shared" si="11"/>
        <v>100</v>
      </c>
      <c r="V30" s="774" t="s">
        <v>17</v>
      </c>
      <c r="W30" s="775">
        <f t="shared" si="12"/>
        <v>100</v>
      </c>
      <c r="X30" s="1813"/>
      <c r="Y30" s="3216"/>
      <c r="Z30" s="1814" t="str">
        <f t="shared" si="13"/>
        <v>土地级别</v>
      </c>
      <c r="AA30" s="1811">
        <f t="shared" si="3"/>
        <v>1</v>
      </c>
      <c r="AB30" s="1811">
        <f t="shared" si="4"/>
        <v>1</v>
      </c>
      <c r="AC30" s="1811">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16"/>
      <c r="Q31" s="1810">
        <f t="shared" si="8"/>
        <v>111</v>
      </c>
      <c r="R31" s="774" t="s">
        <v>17</v>
      </c>
      <c r="S31" s="775">
        <f t="shared" si="10"/>
        <v>100</v>
      </c>
      <c r="T31" s="774" t="s">
        <v>17</v>
      </c>
      <c r="U31" s="775">
        <f t="shared" si="11"/>
        <v>100</v>
      </c>
      <c r="V31" s="774" t="s">
        <v>17</v>
      </c>
      <c r="W31" s="775">
        <f t="shared" si="12"/>
        <v>100</v>
      </c>
      <c r="X31" s="1813"/>
      <c r="Y31" s="3216"/>
      <c r="Z31" s="1814">
        <f t="shared" si="13"/>
        <v>111</v>
      </c>
      <c r="AA31" s="1811">
        <f t="shared" si="3"/>
        <v>1</v>
      </c>
      <c r="AB31" s="1811">
        <f t="shared" si="4"/>
        <v>1</v>
      </c>
      <c r="AC31" s="1811">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60" t="s">
        <v>2553</v>
      </c>
      <c r="Q32" s="1810">
        <f t="shared" si="8"/>
        <v>111</v>
      </c>
      <c r="R32" s="774" t="s">
        <v>17</v>
      </c>
      <c r="S32" s="775">
        <f t="shared" si="10"/>
        <v>100</v>
      </c>
      <c r="T32" s="774" t="s">
        <v>17</v>
      </c>
      <c r="U32" s="775">
        <f t="shared" si="11"/>
        <v>100</v>
      </c>
      <c r="V32" s="774" t="s">
        <v>17</v>
      </c>
      <c r="W32" s="775">
        <f t="shared" si="12"/>
        <v>100</v>
      </c>
      <c r="X32" s="1813"/>
      <c r="Y32" s="3220" t="s">
        <v>2553</v>
      </c>
      <c r="Z32" s="1814">
        <f t="shared" si="13"/>
        <v>111</v>
      </c>
      <c r="AA32" s="1811">
        <f t="shared" si="3"/>
        <v>1</v>
      </c>
      <c r="AB32" s="1811">
        <f t="shared" si="4"/>
        <v>1</v>
      </c>
      <c r="AC32" s="1811">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20"/>
      <c r="Q33" s="1810">
        <f t="shared" si="8"/>
        <v>111</v>
      </c>
      <c r="R33" s="777" t="s">
        <v>17</v>
      </c>
      <c r="S33" s="778">
        <f t="shared" si="10"/>
        <v>100</v>
      </c>
      <c r="T33" s="777" t="s">
        <v>17</v>
      </c>
      <c r="U33" s="778">
        <f t="shared" si="11"/>
        <v>100</v>
      </c>
      <c r="V33" s="777" t="s">
        <v>17</v>
      </c>
      <c r="W33" s="778">
        <f t="shared" si="12"/>
        <v>100</v>
      </c>
      <c r="X33" s="779"/>
      <c r="Y33" s="3220"/>
      <c r="Z33" s="780">
        <f t="shared" si="13"/>
        <v>111</v>
      </c>
      <c r="AA33" s="1811">
        <f t="shared" si="3"/>
        <v>1</v>
      </c>
      <c r="AB33" s="1811">
        <f t="shared" si="4"/>
        <v>1</v>
      </c>
      <c r="AC33" s="1811">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20"/>
      <c r="Q34" s="1810" t="str">
        <f>B34</f>
        <v>宗地面积</v>
      </c>
      <c r="R34" s="774" t="s">
        <v>17</v>
      </c>
      <c r="S34" s="775" t="e">
        <f t="shared" si="10"/>
        <v>#N/A</v>
      </c>
      <c r="T34" s="774" t="s">
        <v>17</v>
      </c>
      <c r="U34" s="775" t="e">
        <f t="shared" si="11"/>
        <v>#N/A</v>
      </c>
      <c r="V34" s="774" t="s">
        <v>17</v>
      </c>
      <c r="W34" s="775" t="e">
        <f t="shared" si="12"/>
        <v>#N/A</v>
      </c>
      <c r="X34" s="1813"/>
      <c r="Y34" s="3220"/>
      <c r="Z34" s="1814" t="str">
        <f t="shared" si="13"/>
        <v>宗地面积</v>
      </c>
      <c r="AA34" s="1811" t="e">
        <f t="shared" si="3"/>
        <v>#N/A</v>
      </c>
      <c r="AB34" s="1811" t="e">
        <f t="shared" si="4"/>
        <v>#N/A</v>
      </c>
      <c r="AC34" s="1811" t="e">
        <f t="shared" si="5"/>
        <v>#N/A</v>
      </c>
    </row>
    <row r="35" spans="1:29" ht="15">
      <c r="A35" s="472"/>
      <c r="B35" s="422" t="s">
        <v>2740</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41"/>
      <c r="M35" s="1132"/>
      <c r="N35" s="1132"/>
      <c r="O35" s="1140"/>
      <c r="P35" s="3220"/>
      <c r="Q35" s="1810" t="str">
        <f t="shared" ref="Q35:Q40" si="14">B35</f>
        <v>宗地形状</v>
      </c>
      <c r="R35" s="774" t="s">
        <v>17</v>
      </c>
      <c r="S35" s="775">
        <f t="shared" si="10"/>
        <v>100</v>
      </c>
      <c r="T35" s="774" t="s">
        <v>17</v>
      </c>
      <c r="U35" s="775">
        <f t="shared" si="11"/>
        <v>100</v>
      </c>
      <c r="V35" s="774" t="s">
        <v>17</v>
      </c>
      <c r="W35" s="775">
        <f t="shared" si="12"/>
        <v>100</v>
      </c>
      <c r="X35" s="1813"/>
      <c r="Y35" s="3220"/>
      <c r="Z35" s="1814" t="str">
        <f t="shared" si="13"/>
        <v>宗地形状</v>
      </c>
      <c r="AA35" s="1811">
        <f t="shared" si="3"/>
        <v>1</v>
      </c>
      <c r="AB35" s="1811">
        <f t="shared" si="4"/>
        <v>1</v>
      </c>
      <c r="AC35" s="1811">
        <f t="shared" si="5"/>
        <v>1</v>
      </c>
    </row>
    <row r="36" spans="1:29" s="117" customFormat="1" ht="15">
      <c r="A36" s="473"/>
      <c r="B36" s="422" t="s">
        <v>2742</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33"/>
      <c r="M36" s="1134"/>
      <c r="N36" s="1134"/>
      <c r="O36" s="1135"/>
      <c r="P36" s="3220"/>
      <c r="Q36" s="1810"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2743</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41"/>
      <c r="M37" s="1132"/>
      <c r="N37" s="1132"/>
      <c r="O37" s="1140"/>
      <c r="P37" s="3220" t="s">
        <v>2553</v>
      </c>
      <c r="Q37" s="1810" t="str">
        <f t="shared" si="14"/>
        <v>工程地质条件</v>
      </c>
      <c r="R37" s="774" t="s">
        <v>17</v>
      </c>
      <c r="S37" s="775">
        <f t="shared" si="10"/>
        <v>100</v>
      </c>
      <c r="T37" s="774" t="s">
        <v>17</v>
      </c>
      <c r="U37" s="775">
        <f t="shared" si="11"/>
        <v>100</v>
      </c>
      <c r="V37" s="774" t="s">
        <v>17</v>
      </c>
      <c r="W37" s="775">
        <f t="shared" si="12"/>
        <v>100</v>
      </c>
      <c r="X37" s="1813"/>
      <c r="Y37" s="3220" t="s">
        <v>2553</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20"/>
      <c r="Q38" s="1810">
        <f t="shared" si="14"/>
        <v>111</v>
      </c>
      <c r="R38" s="774" t="s">
        <v>17</v>
      </c>
      <c r="S38" s="775">
        <f t="shared" si="10"/>
        <v>100</v>
      </c>
      <c r="T38" s="774" t="s">
        <v>17</v>
      </c>
      <c r="U38" s="775">
        <f t="shared" si="11"/>
        <v>100</v>
      </c>
      <c r="V38" s="774" t="s">
        <v>17</v>
      </c>
      <c r="W38" s="775">
        <f t="shared" si="12"/>
        <v>100</v>
      </c>
      <c r="X38" s="1813"/>
      <c r="Y38" s="3220"/>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20"/>
      <c r="Q39" s="1810">
        <f t="shared" si="14"/>
        <v>111</v>
      </c>
      <c r="R39" s="774" t="s">
        <v>17</v>
      </c>
      <c r="S39" s="775">
        <f t="shared" si="10"/>
        <v>100</v>
      </c>
      <c r="T39" s="774" t="s">
        <v>17</v>
      </c>
      <c r="U39" s="775">
        <f t="shared" si="11"/>
        <v>100</v>
      </c>
      <c r="V39" s="774" t="s">
        <v>17</v>
      </c>
      <c r="W39" s="775">
        <f t="shared" si="12"/>
        <v>100</v>
      </c>
      <c r="X39" s="1813"/>
      <c r="Y39" s="3220"/>
      <c r="Z39" s="1814">
        <f t="shared" si="13"/>
        <v>111</v>
      </c>
      <c r="AA39" s="1811">
        <f t="shared" si="3"/>
        <v>1</v>
      </c>
      <c r="AB39" s="1811">
        <f t="shared" si="4"/>
        <v>1</v>
      </c>
      <c r="AC39" s="1811">
        <f t="shared" si="5"/>
        <v>1</v>
      </c>
    </row>
    <row r="40" spans="1:29" s="471" customFormat="1" ht="15.75" thickBot="1">
      <c r="A40" s="468"/>
      <c r="B40" s="1388">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20"/>
      <c r="Q40" s="1810">
        <f t="shared" si="14"/>
        <v>111</v>
      </c>
      <c r="R40" s="777" t="s">
        <v>17</v>
      </c>
      <c r="S40" s="778">
        <f t="shared" si="10"/>
        <v>100</v>
      </c>
      <c r="T40" s="777" t="s">
        <v>17</v>
      </c>
      <c r="U40" s="778">
        <f t="shared" si="11"/>
        <v>100</v>
      </c>
      <c r="V40" s="777" t="s">
        <v>17</v>
      </c>
      <c r="W40" s="778">
        <f t="shared" si="12"/>
        <v>100</v>
      </c>
      <c r="X40" s="779"/>
      <c r="Y40" s="3220"/>
      <c r="Z40" s="780">
        <f t="shared" si="13"/>
        <v>111</v>
      </c>
      <c r="AA40" s="1811">
        <f t="shared" si="3"/>
        <v>1</v>
      </c>
      <c r="AB40" s="1811">
        <f t="shared" si="4"/>
        <v>1</v>
      </c>
      <c r="AC40" s="1811">
        <f t="shared" si="5"/>
        <v>1</v>
      </c>
    </row>
    <row r="41" spans="1:29" ht="15">
      <c r="A41" s="479" t="s">
        <v>2708</v>
      </c>
      <c r="B41" s="2693" t="s">
        <v>2788</v>
      </c>
      <c r="C41" s="682" t="s">
        <v>1</v>
      </c>
      <c r="D41" s="481"/>
      <c r="E41" s="482"/>
      <c r="F41" s="483"/>
      <c r="G41" s="484"/>
      <c r="H41" s="485"/>
      <c r="I41" s="482"/>
      <c r="J41" s="485"/>
      <c r="K41" s="783"/>
      <c r="L41" s="1144"/>
      <c r="M41" s="1132"/>
      <c r="N41" s="1132"/>
      <c r="O41" s="1145"/>
      <c r="P41" s="3222" t="str">
        <f>A41</f>
        <v>成交单价</v>
      </c>
      <c r="Q41" s="3222"/>
      <c r="R41" s="3210">
        <f>E41</f>
        <v>0</v>
      </c>
      <c r="S41" s="3210"/>
      <c r="T41" s="3210">
        <f>G41</f>
        <v>0</v>
      </c>
      <c r="U41" s="3210"/>
      <c r="V41" s="3210">
        <f>I41</f>
        <v>0</v>
      </c>
      <c r="W41" s="3210"/>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4"/>
      <c r="M42" s="1132"/>
      <c r="N42" s="1132"/>
      <c r="O42" s="1145"/>
      <c r="P42" s="3222" t="str">
        <f>A42</f>
        <v>比较价值（元/平方米）</v>
      </c>
      <c r="Q42" s="3222"/>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4"/>
      <c r="M43" s="1132"/>
      <c r="N43" s="1132"/>
      <c r="O43" s="1145"/>
      <c r="P43" s="3257" t="str">
        <f>A43</f>
        <v>估价对象XX用房的比较价值（楼面单价，元/平方米）</v>
      </c>
      <c r="Q43" s="3258"/>
      <c r="R43" s="3262" t="e">
        <f>ROUND(AVERAGE(R42:V42),0)</f>
        <v>#DIV/0!</v>
      </c>
      <c r="S43" s="3262"/>
      <c r="T43" s="3262"/>
      <c r="U43" s="3262"/>
      <c r="V43" s="3262"/>
      <c r="W43" s="3262"/>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2746</v>
      </c>
      <c r="B50" s="685" t="s">
        <v>2747</v>
      </c>
      <c r="C50" s="2694" t="s">
        <v>2748</v>
      </c>
      <c r="D50" s="2695" t="s">
        <v>2749</v>
      </c>
      <c r="E50" s="686" t="s">
        <v>2750</v>
      </c>
      <c r="F50" s="687" t="s">
        <v>2751</v>
      </c>
      <c r="G50" s="3197" t="s">
        <v>2752</v>
      </c>
      <c r="H50" s="3263"/>
      <c r="I50" s="1814" t="s">
        <v>2789</v>
      </c>
      <c r="J50" s="1814">
        <f>项目基本情况!F35</f>
        <v>0</v>
      </c>
      <c r="K50" s="2697" t="s">
        <v>2754</v>
      </c>
      <c r="L50" s="1107"/>
      <c r="M50" s="1145"/>
      <c r="N50" s="1145"/>
      <c r="O50" s="1145"/>
    </row>
    <row r="51" spans="1:17" s="692" customFormat="1">
      <c r="A51" s="688" t="s">
        <v>2755</v>
      </c>
      <c r="B51" s="689" t="e">
        <f>C43</f>
        <v>#DIV/0!</v>
      </c>
      <c r="C51" s="690">
        <v>1</v>
      </c>
      <c r="D51" s="1164">
        <v>1</v>
      </c>
      <c r="E51" s="690">
        <f>'数据-汇总表'!E8+'数据-汇总表'!E9</f>
        <v>1812.99</v>
      </c>
      <c r="F51" s="691" t="e">
        <f t="shared" ref="F51:F60" si="15">ROUND(B51*E51/10000,0)</f>
        <v>#DIV/0!</v>
      </c>
      <c r="G51" s="3193"/>
      <c r="H51" s="3222"/>
      <c r="I51" s="945">
        <v>1</v>
      </c>
      <c r="J51" s="945">
        <v>1</v>
      </c>
      <c r="K51" s="1146"/>
      <c r="L51" s="944"/>
      <c r="M51" s="944"/>
      <c r="N51" s="944"/>
      <c r="O51" s="944"/>
    </row>
    <row r="52" spans="1:17" s="692" customFormat="1">
      <c r="A52" s="693" t="s">
        <v>2756</v>
      </c>
      <c r="B52" s="262" t="e">
        <f>ROUND($C$43*C52*D52,0)</f>
        <v>#DIV/0!</v>
      </c>
      <c r="C52" s="200">
        <f t="shared" ref="C52:C60" si="16">IF($C$50="北京市系数",I52,J52)</f>
        <v>0</v>
      </c>
      <c r="D52" s="1165">
        <v>0.25</v>
      </c>
      <c r="E52" s="694"/>
      <c r="F52" s="691" t="e">
        <f t="shared" si="15"/>
        <v>#DIV/0!</v>
      </c>
      <c r="G52" s="3264" t="s">
        <v>2757</v>
      </c>
      <c r="H52" s="1105">
        <f>项目基本情况!B37</f>
        <v>0</v>
      </c>
      <c r="I52" s="945">
        <f>SUMIF(修正!A45:A56,H52,修正!B45:B56)</f>
        <v>0</v>
      </c>
      <c r="J52" s="946"/>
      <c r="K52" s="1145"/>
      <c r="L52" s="944"/>
      <c r="M52" s="944"/>
      <c r="N52" s="944"/>
      <c r="O52" s="944"/>
    </row>
    <row r="53" spans="1:17" s="692" customFormat="1">
      <c r="A53" s="693" t="s">
        <v>2758</v>
      </c>
      <c r="B53" s="262" t="e">
        <f t="shared" ref="B53:B60" si="17">ROUND($C$43*C53*D53,0)</f>
        <v>#DIV/0!</v>
      </c>
      <c r="C53" s="200">
        <f t="shared" si="16"/>
        <v>0</v>
      </c>
      <c r="D53" s="1165">
        <v>0.25</v>
      </c>
      <c r="E53" s="694"/>
      <c r="F53" s="691" t="e">
        <f t="shared" si="15"/>
        <v>#DIV/0!</v>
      </c>
      <c r="G53" s="3264"/>
      <c r="H53" s="1105">
        <f>项目基本情况!B37</f>
        <v>0</v>
      </c>
      <c r="I53" s="945">
        <f>SUMIF(修正!A45:A56,H53,修正!C45:C56)</f>
        <v>0</v>
      </c>
      <c r="J53" s="946"/>
      <c r="K53" s="1146"/>
      <c r="L53" s="944"/>
      <c r="M53" s="944"/>
      <c r="N53" s="944"/>
      <c r="O53" s="944"/>
    </row>
    <row r="54" spans="1:17" s="692" customFormat="1">
      <c r="A54" s="693" t="s">
        <v>2759</v>
      </c>
      <c r="B54" s="262" t="e">
        <f t="shared" si="17"/>
        <v>#DIV/0!</v>
      </c>
      <c r="C54" s="200">
        <f t="shared" si="16"/>
        <v>0</v>
      </c>
      <c r="D54" s="1165">
        <v>0.25</v>
      </c>
      <c r="E54" s="694"/>
      <c r="F54" s="691" t="e">
        <f t="shared" si="15"/>
        <v>#DIV/0!</v>
      </c>
      <c r="G54" s="3264"/>
      <c r="H54" s="1105">
        <f>项目基本情况!B37</f>
        <v>0</v>
      </c>
      <c r="I54" s="945">
        <f>SUMIF(修正!A45:A56,H54,修正!D45:D56)</f>
        <v>0</v>
      </c>
      <c r="J54" s="946"/>
      <c r="K54" s="1145"/>
      <c r="L54" s="944"/>
      <c r="M54" s="944"/>
      <c r="N54" s="944"/>
      <c r="O54" s="944"/>
    </row>
    <row r="55" spans="1:17" s="692" customFormat="1">
      <c r="A55" s="693" t="s">
        <v>2760</v>
      </c>
      <c r="B55" s="262" t="e">
        <f t="shared" si="17"/>
        <v>#DIV/0!</v>
      </c>
      <c r="C55" s="200">
        <f t="shared" si="16"/>
        <v>0</v>
      </c>
      <c r="D55" s="1165">
        <v>0.25</v>
      </c>
      <c r="E55" s="694"/>
      <c r="F55" s="691" t="e">
        <f t="shared" si="15"/>
        <v>#DIV/0!</v>
      </c>
      <c r="G55" s="3264"/>
      <c r="H55" s="1105">
        <f>项目基本情况!B37</f>
        <v>0</v>
      </c>
      <c r="I55" s="945">
        <f>SUMIF(修正!A45:A56,H55,修正!E45:E56)</f>
        <v>0</v>
      </c>
      <c r="J55" s="946"/>
      <c r="K55" s="1146"/>
      <c r="L55" s="944"/>
      <c r="M55" s="944"/>
      <c r="N55" s="944"/>
      <c r="O55" s="944"/>
    </row>
    <row r="56" spans="1:17" s="692" customFormat="1">
      <c r="A56" s="693" t="s">
        <v>2761</v>
      </c>
      <c r="B56" s="262" t="e">
        <f t="shared" si="17"/>
        <v>#DIV/0!</v>
      </c>
      <c r="C56" s="200">
        <f t="shared" si="16"/>
        <v>0</v>
      </c>
      <c r="D56" s="1165">
        <v>0.25</v>
      </c>
      <c r="E56" s="261">
        <f>'数据-汇总表'!E11</f>
        <v>0</v>
      </c>
      <c r="F56" s="691" t="e">
        <f t="shared" si="15"/>
        <v>#DIV/0!</v>
      </c>
      <c r="G56" s="2698" t="s">
        <v>2762</v>
      </c>
      <c r="H56" s="1105">
        <f>项目基本情况!C37</f>
        <v>0</v>
      </c>
      <c r="I56" s="945">
        <f>SUMIF(修正!A45:A56,H56,修正!F45:F56)</f>
        <v>0</v>
      </c>
      <c r="J56" s="946"/>
      <c r="K56" s="1145"/>
      <c r="L56" s="944"/>
      <c r="M56" s="944"/>
      <c r="N56" s="944"/>
      <c r="O56" s="944"/>
    </row>
    <row r="57" spans="1:17" s="692" customFormat="1">
      <c r="A57" s="693" t="s">
        <v>2763</v>
      </c>
      <c r="B57" s="262" t="e">
        <f t="shared" si="17"/>
        <v>#DIV/0!</v>
      </c>
      <c r="C57" s="200">
        <f t="shared" si="16"/>
        <v>0</v>
      </c>
      <c r="D57" s="1165">
        <v>0.25</v>
      </c>
      <c r="E57" s="261">
        <f>'数据-汇总表'!E12</f>
        <v>0</v>
      </c>
      <c r="F57" s="691" t="e">
        <f t="shared" si="15"/>
        <v>#DIV/0!</v>
      </c>
      <c r="G57" s="1110" t="s">
        <v>2764</v>
      </c>
      <c r="H57" s="1105">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2765</v>
      </c>
      <c r="B58" s="262" t="e">
        <f t="shared" si="17"/>
        <v>#DIV/0!</v>
      </c>
      <c r="C58" s="200">
        <f t="shared" si="16"/>
        <v>0</v>
      </c>
      <c r="D58" s="1165">
        <v>0.25</v>
      </c>
      <c r="E58" s="261">
        <f>'数据-汇总表'!E13</f>
        <v>0</v>
      </c>
      <c r="F58" s="691" t="e">
        <f t="shared" si="15"/>
        <v>#DIV/0!</v>
      </c>
      <c r="G58" s="1110" t="s">
        <v>2766</v>
      </c>
      <c r="H58" s="1105">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2767</v>
      </c>
      <c r="B59" s="262" t="e">
        <f t="shared" si="17"/>
        <v>#DIV/0!</v>
      </c>
      <c r="C59" s="200">
        <f t="shared" si="16"/>
        <v>0</v>
      </c>
      <c r="D59" s="1165">
        <v>0.25</v>
      </c>
      <c r="E59" s="261">
        <f>'数据-汇总表'!E14</f>
        <v>0</v>
      </c>
      <c r="F59" s="691" t="e">
        <f t="shared" si="15"/>
        <v>#DIV/0!</v>
      </c>
      <c r="G59" s="2698" t="s">
        <v>2757</v>
      </c>
      <c r="H59" s="1105">
        <f>项目基本情况!B37</f>
        <v>0</v>
      </c>
      <c r="I59" s="945">
        <f>SUMIF(修正!A45:A56,H59,修正!H45:H56)</f>
        <v>0</v>
      </c>
      <c r="J59" s="946"/>
      <c r="K59" s="1146"/>
      <c r="L59" s="944"/>
      <c r="M59" s="944"/>
      <c r="N59" s="944"/>
      <c r="O59" s="944"/>
    </row>
    <row r="60" spans="1:17" s="692" customFormat="1" ht="15" thickBot="1">
      <c r="A60" s="693" t="s">
        <v>2768</v>
      </c>
      <c r="B60" s="262" t="e">
        <f t="shared" si="17"/>
        <v>#DIV/0!</v>
      </c>
      <c r="C60" s="200">
        <f t="shared" si="16"/>
        <v>0</v>
      </c>
      <c r="D60" s="1165">
        <v>0.25</v>
      </c>
      <c r="E60" s="261">
        <f>'数据-汇总表'!E15</f>
        <v>0</v>
      </c>
      <c r="F60" s="691" t="e">
        <f t="shared" si="15"/>
        <v>#DIV/0!</v>
      </c>
      <c r="G60" s="2699" t="s">
        <v>2762</v>
      </c>
      <c r="H60" s="1115">
        <f>项目基本情况!C37</f>
        <v>0</v>
      </c>
      <c r="I60" s="945">
        <f>SUMIF(修正!A45:A56,H60,修正!H45:H56)</f>
        <v>0</v>
      </c>
      <c r="J60" s="946"/>
      <c r="K60" s="1145"/>
      <c r="L60" s="944"/>
      <c r="M60" s="944"/>
      <c r="N60" s="944"/>
      <c r="O60" s="944"/>
    </row>
    <row r="61" spans="1:17" s="692" customFormat="1" ht="15" thickBot="1">
      <c r="A61" s="695" t="s">
        <v>2769</v>
      </c>
      <c r="B61" s="696" t="s">
        <v>28</v>
      </c>
      <c r="C61" s="696" t="s">
        <v>29</v>
      </c>
      <c r="D61" s="696" t="s">
        <v>1029</v>
      </c>
      <c r="E61" s="696">
        <f>IF(B41="楼面地价",SUM(E51:E60),'数据-汇总表'!D3)</f>
        <v>1000.01</v>
      </c>
      <c r="F61" s="697" t="e">
        <f>IF(B41="楼面地价",SUM(F51:F60),ROUND(C43*E61/10000,0))</f>
        <v>#DIV/0!</v>
      </c>
      <c r="G61" s="1159"/>
      <c r="H61" s="1159"/>
      <c r="I61" s="1159"/>
      <c r="J61" s="1159"/>
      <c r="K61" s="1106"/>
      <c r="L61" s="944"/>
      <c r="M61" s="944"/>
      <c r="N61" s="944"/>
      <c r="O61" s="944"/>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2662</v>
      </c>
      <c r="B64" s="759"/>
      <c r="C64" s="764"/>
      <c r="D64" s="764"/>
      <c r="E64" s="764"/>
      <c r="F64" s="765"/>
      <c r="G64" s="765"/>
      <c r="H64" s="764"/>
      <c r="I64" s="764"/>
      <c r="J64" s="764"/>
      <c r="K64" s="766"/>
      <c r="L64" s="767"/>
      <c r="M64" s="764"/>
      <c r="N64" s="764"/>
      <c r="O64" s="1160"/>
      <c r="P64" s="503"/>
      <c r="Q64" s="504"/>
    </row>
    <row r="65" spans="1:17" s="508" customFormat="1" ht="15">
      <c r="A65" s="2700" t="s">
        <v>2770</v>
      </c>
      <c r="B65" s="1360"/>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7"/>
    </row>
    <row r="66" spans="1:17" s="117" customFormat="1" ht="30.75" customHeight="1">
      <c r="A66" s="2705" t="s">
        <v>2790</v>
      </c>
      <c r="B66" s="332" t="str">
        <f>"北京市平均增长率"&amp;TEXT(基准地价修正!P24,"0.00%")</f>
        <v>北京市平均增长率1.28%</v>
      </c>
      <c r="C66" s="603">
        <v>100</v>
      </c>
      <c r="D66" s="595"/>
      <c r="E66" s="595"/>
      <c r="F66" s="595"/>
      <c r="G66" s="595"/>
      <c r="H66" s="595"/>
      <c r="I66" s="595"/>
      <c r="J66" s="595"/>
      <c r="K66" s="595"/>
      <c r="L66" s="595"/>
      <c r="M66" s="1567"/>
      <c r="N66" s="1567"/>
      <c r="O66" s="1569"/>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2576</v>
      </c>
      <c r="B70" s="528" t="s">
        <v>2542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85" customWidth="1"/>
    <col min="2" max="2" width="19.25" style="2891" customWidth="1"/>
    <col min="3" max="4" width="12" style="2709"/>
    <col min="5" max="5" width="14.625" style="2709" customWidth="1"/>
    <col min="6" max="8" width="12" style="2709"/>
    <col min="9" max="9" width="12.25" style="2709" bestFit="1" customWidth="1"/>
    <col min="10" max="10" width="12" style="2709"/>
    <col min="11" max="11" width="8.125" style="2777" customWidth="1"/>
    <col min="12" max="12" width="12" style="2709"/>
    <col min="13" max="13" width="8.5" style="2709" customWidth="1"/>
    <col min="14" max="14" width="9.75" style="2709" customWidth="1"/>
    <col min="15" max="25" width="12" style="2709"/>
    <col min="26" max="26" width="9.375" style="2785" customWidth="1"/>
    <col min="27" max="32" width="9.375" style="1373" customWidth="1"/>
    <col min="33" max="36" width="9.375" style="2785" customWidth="1"/>
    <col min="37" max="38" width="9.375" style="2709" customWidth="1"/>
    <col min="39" max="16384" width="12" style="2709"/>
  </cols>
  <sheetData>
    <row r="1" spans="1:36" ht="28.5">
      <c r="A1" s="240" t="s">
        <v>2792</v>
      </c>
      <c r="B1" s="241"/>
      <c r="C1" s="245" t="s">
        <v>2793</v>
      </c>
      <c r="D1" s="388">
        <f>SUM(D29:D30,D33:D39)</f>
        <v>0</v>
      </c>
      <c r="E1" s="2706"/>
      <c r="F1" s="2706"/>
      <c r="G1" s="2706"/>
      <c r="H1" s="2706"/>
      <c r="I1" s="2706"/>
      <c r="J1" s="2706"/>
      <c r="K1" s="1371"/>
      <c r="L1" s="2707" t="s">
        <v>2794</v>
      </c>
      <c r="M1" s="1081">
        <f>SUMPRODUCT((区片价!B5:B9=I2)*(区片价!C3:F3=E2)*(区片价!C5:F9))</f>
        <v>0</v>
      </c>
      <c r="N1" s="1084">
        <f>SUMPRODUCT((因素修正幅度!B5:B9=I2)*(因素修正幅度!C3:F3=E2)*(因素修正幅度!C5:F9))</f>
        <v>0</v>
      </c>
      <c r="O1" s="2708"/>
      <c r="P1" s="2708"/>
      <c r="Q1" s="1371"/>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t="e">
        <f>C26</f>
        <v>#DIV/0!</v>
      </c>
      <c r="C2" s="2710" t="s">
        <v>2801</v>
      </c>
      <c r="D2" s="2711" t="s">
        <v>2802</v>
      </c>
      <c r="E2" s="2712"/>
      <c r="F2" s="2711" t="s">
        <v>2803</v>
      </c>
      <c r="G2" s="2713">
        <f>IF(E2="商业",项目基本情况!B37,IF(E2="办公",项目基本情况!C37,IF(E2="住宅",项目基本情况!D37,项目基本情况!E37)))</f>
        <v>0</v>
      </c>
      <c r="H2" s="2711" t="s">
        <v>2804</v>
      </c>
      <c r="I2" s="2713">
        <f>IF(E2="商业",项目基本情况!B38,IF(E2="办公",项目基本情况!C38,IF(E2="住宅",项目基本情况!D38,项目基本情况!E38)))</f>
        <v>0</v>
      </c>
      <c r="J2" s="2714"/>
      <c r="K2" s="1371"/>
      <c r="L2" s="2715" t="s">
        <v>2805</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2806</v>
      </c>
      <c r="B3" s="248" t="e">
        <f>ROUND(B2*10000/D1,0)</f>
        <v>#DIV/0!</v>
      </c>
      <c r="C3" s="2710" t="s">
        <v>2807</v>
      </c>
      <c r="D3" s="2711" t="s">
        <v>2808</v>
      </c>
      <c r="E3" s="2716"/>
      <c r="F3" s="2717" t="s">
        <v>2809</v>
      </c>
      <c r="G3" s="916">
        <f>IF(F3="宗地容积率",'数据-汇总表'!I4,IF(F3="估价对象容积率",'数据-汇总表'!I6,'数据-汇总表'!I7))</f>
        <v>1.81</v>
      </c>
      <c r="H3" s="198" t="s">
        <v>2810</v>
      </c>
      <c r="I3" s="947"/>
      <c r="J3" s="2714" t="s">
        <v>2811</v>
      </c>
      <c r="K3" s="1371"/>
      <c r="L3" s="2715" t="s">
        <v>2812</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3"/>
      <c r="B4" s="3284"/>
      <c r="C4" s="3284"/>
      <c r="D4" s="3285"/>
      <c r="E4" s="3285"/>
      <c r="F4" s="3285"/>
      <c r="G4" s="3285"/>
      <c r="H4" s="3285"/>
      <c r="I4" s="3285"/>
      <c r="J4" s="3286"/>
      <c r="K4" s="1371"/>
      <c r="L4" s="2715" t="s">
        <v>2813</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27" customFormat="1" ht="15.75" thickBot="1">
      <c r="A5" s="2718" t="s">
        <v>807</v>
      </c>
      <c r="B5" s="2719" t="s">
        <v>2814</v>
      </c>
      <c r="C5" s="917" t="e">
        <f>ROUND(IF(E2="商业",IF(F16="增加",C6*C7+C16,C6*C7-C16),IF(E2="住宅",IF(F16="增加",C6*C12+C16,C6*C12-C16),IF(F16="增加",C6+C16,C6-C16))),0)</f>
        <v>#DIV/0!</v>
      </c>
      <c r="D5" s="1787">
        <f>ROUND(IF(E2="商业",IF(F16="增加",C6+C16,C6-C16)),0)</f>
        <v>0</v>
      </c>
      <c r="E5" s="2720"/>
      <c r="F5" s="2720"/>
      <c r="G5" s="2721"/>
      <c r="H5" s="2721"/>
      <c r="I5" s="2721"/>
      <c r="J5" s="2722"/>
      <c r="K5" s="2723"/>
      <c r="L5" s="2715" t="s">
        <v>2815</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4"/>
      <c r="AD5" s="2725"/>
      <c r="AE5" s="2725"/>
      <c r="AF5" s="2725"/>
      <c r="AG5" s="2725"/>
      <c r="AH5" s="2725"/>
      <c r="AI5" s="2725"/>
      <c r="AJ5" s="2726"/>
    </row>
    <row r="6" spans="1:36" ht="15.75" thickBot="1">
      <c r="A6" s="2728" t="s">
        <v>2816</v>
      </c>
      <c r="B6" s="2729" t="s">
        <v>2817</v>
      </c>
      <c r="C6" s="918">
        <f>SUMIF(L1:L12,G2,M1:M12)</f>
        <v>0</v>
      </c>
      <c r="D6" s="2730" t="s">
        <v>2818</v>
      </c>
      <c r="E6" s="2731"/>
      <c r="F6" s="2731"/>
      <c r="G6" s="2732"/>
      <c r="H6" s="2732"/>
      <c r="I6" s="2732"/>
      <c r="J6" s="2733"/>
      <c r="K6" s="1842"/>
      <c r="L6" s="2715" t="s">
        <v>2819</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4"/>
      <c r="AD6" s="2725"/>
      <c r="AE6" s="2725"/>
      <c r="AF6" s="2725"/>
      <c r="AG6" s="2725"/>
      <c r="AH6" s="2725"/>
      <c r="AI6" s="2725"/>
      <c r="AJ6" s="2726"/>
    </row>
    <row r="7" spans="1:36" ht="24">
      <c r="A7" s="3269" t="str">
        <f>IF(E2="商业",IF(C8="不临58条商业街","",2),"")</f>
        <v/>
      </c>
      <c r="B7" s="2734" t="s">
        <v>2820</v>
      </c>
      <c r="C7" s="919" t="e">
        <f>IF(C8="不临58条商业街",1,ROUND(1+(1.6*E8+1.2*E9+0.8*E10+0.4*E11)*C9,4))</f>
        <v>#DIV/0!</v>
      </c>
      <c r="D7" s="2735" t="s">
        <v>2821</v>
      </c>
      <c r="E7" s="948"/>
      <c r="F7" s="2736"/>
      <c r="G7" s="2737"/>
      <c r="H7" s="2737"/>
      <c r="I7" s="2737"/>
      <c r="J7" s="2738"/>
      <c r="K7" s="1842"/>
      <c r="L7" s="2715" t="s">
        <v>2822</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2823</v>
      </c>
      <c r="X7" s="1604">
        <f>G2</f>
        <v>0</v>
      </c>
      <c r="Y7" s="1604" t="s">
        <v>2824</v>
      </c>
      <c r="Z7" s="1605">
        <f>G3</f>
        <v>1.81</v>
      </c>
      <c r="AA7" s="1606"/>
      <c r="AB7" s="1606"/>
      <c r="AC7" s="1607"/>
      <c r="AD7" s="1608"/>
      <c r="AE7" s="1608"/>
      <c r="AF7" s="1608"/>
      <c r="AG7" s="1608"/>
      <c r="AH7" s="1608"/>
      <c r="AI7" s="1608"/>
      <c r="AJ7" s="1609"/>
    </row>
    <row r="8" spans="1:36" ht="15">
      <c r="A8" s="3270"/>
      <c r="B8" s="198" t="s">
        <v>2825</v>
      </c>
      <c r="C8" s="2739"/>
      <c r="D8" s="920" t="s">
        <v>139</v>
      </c>
      <c r="E8" s="921" t="e">
        <f>ROUND(C11/E7,4)</f>
        <v>#DIV/0!</v>
      </c>
      <c r="F8" s="2740" t="s">
        <v>2826</v>
      </c>
      <c r="G8" s="2741"/>
      <c r="H8" s="2741"/>
      <c r="I8" s="2741"/>
      <c r="J8" s="2742"/>
      <c r="K8" s="1371"/>
      <c r="L8" s="2715" t="s">
        <v>2827</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80" t="s">
        <v>2828</v>
      </c>
      <c r="X8" s="3281"/>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270"/>
      <c r="B9" s="198" t="s">
        <v>2841</v>
      </c>
      <c r="C9" s="922">
        <f>SUMIF(修正!C59:C119,C8,修正!E59:E119)</f>
        <v>0</v>
      </c>
      <c r="D9" s="200" t="s">
        <v>140</v>
      </c>
      <c r="E9" s="200" t="e">
        <f>ROUND(C11/E7,4)</f>
        <v>#DIV/0!</v>
      </c>
      <c r="F9" s="2740" t="s">
        <v>2842</v>
      </c>
      <c r="G9" s="2741"/>
      <c r="H9" s="2741"/>
      <c r="I9" s="2741"/>
      <c r="J9" s="2742"/>
      <c r="K9" s="1371"/>
      <c r="L9" s="2715" t="s">
        <v>2843</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82"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0"/>
      <c r="B10" s="198" t="s">
        <v>2846</v>
      </c>
      <c r="C10" s="200">
        <f>SUMIF(修正!C59:C119,C8,修正!F59:F119)</f>
        <v>0</v>
      </c>
      <c r="D10" s="200" t="s">
        <v>141</v>
      </c>
      <c r="E10" s="200" t="e">
        <f>ROUND(C11/E7,4)</f>
        <v>#DIV/0!</v>
      </c>
      <c r="F10" s="2740" t="s">
        <v>2847</v>
      </c>
      <c r="G10" s="2741"/>
      <c r="H10" s="2741"/>
      <c r="I10" s="2741"/>
      <c r="J10" s="2742"/>
      <c r="K10" s="1371"/>
      <c r="L10" s="2715" t="s">
        <v>2848</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8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0"/>
      <c r="B11" s="2743" t="s">
        <v>2849</v>
      </c>
      <c r="C11" s="923">
        <f>C10/4</f>
        <v>0</v>
      </c>
      <c r="D11" s="923" t="s">
        <v>142</v>
      </c>
      <c r="E11" s="923" t="e">
        <f>ROUND(C11/E7,4)</f>
        <v>#DIV/0!</v>
      </c>
      <c r="F11" s="2744" t="s">
        <v>2850</v>
      </c>
      <c r="G11" s="2745"/>
      <c r="H11" s="2745"/>
      <c r="I11" s="2745"/>
      <c r="J11" s="2746"/>
      <c r="K11" s="1371"/>
      <c r="L11" s="2715" t="s">
        <v>2851</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82" t="s">
        <v>2852</v>
      </c>
      <c r="X11" s="1614" t="s">
        <v>2853</v>
      </c>
      <c r="Y11" s="1615">
        <f>$G$3</f>
        <v>1.81</v>
      </c>
      <c r="Z11" s="1615">
        <f t="shared" ref="Z11:AJ11" si="3">$G$3</f>
        <v>1.81</v>
      </c>
      <c r="AA11" s="1615">
        <f t="shared" si="3"/>
        <v>1.81</v>
      </c>
      <c r="AB11" s="1615">
        <f t="shared" si="3"/>
        <v>1.81</v>
      </c>
      <c r="AC11" s="1615">
        <f t="shared" si="3"/>
        <v>1.81</v>
      </c>
      <c r="AD11" s="1615">
        <f t="shared" si="3"/>
        <v>1.81</v>
      </c>
      <c r="AE11" s="1615">
        <f t="shared" si="3"/>
        <v>1.81</v>
      </c>
      <c r="AF11" s="1615">
        <f t="shared" si="3"/>
        <v>1.81</v>
      </c>
      <c r="AG11" s="1615">
        <f t="shared" si="3"/>
        <v>1.81</v>
      </c>
      <c r="AH11" s="1615">
        <f t="shared" si="3"/>
        <v>1.81</v>
      </c>
      <c r="AI11" s="1615">
        <f t="shared" si="3"/>
        <v>1.81</v>
      </c>
      <c r="AJ11" s="1615">
        <f t="shared" si="3"/>
        <v>1.81</v>
      </c>
    </row>
    <row r="12" spans="1:36" ht="25.5" thickBot="1">
      <c r="A12" s="3269" t="s">
        <v>2854</v>
      </c>
      <c r="B12" s="2747" t="s">
        <v>2855</v>
      </c>
      <c r="C12" s="919">
        <f>ROUND(C15*D15*E15*F15*G15*H15*I15*J15,4)</f>
        <v>1</v>
      </c>
      <c r="D12" s="2748" t="s">
        <v>2856</v>
      </c>
      <c r="E12" s="2749"/>
      <c r="F12" s="2749"/>
      <c r="G12" s="2750"/>
      <c r="H12" s="2750"/>
      <c r="I12" s="2750"/>
      <c r="J12" s="2751"/>
      <c r="K12" s="1371"/>
      <c r="L12" s="2752" t="s">
        <v>2857</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82"/>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7"/>
      <c r="B13" s="2753" t="s">
        <v>2859</v>
      </c>
      <c r="C13" s="2754" t="s">
        <v>2860</v>
      </c>
      <c r="D13" s="1808" t="s">
        <v>2861</v>
      </c>
      <c r="E13" s="1808" t="s">
        <v>2862</v>
      </c>
      <c r="F13" s="30" t="s">
        <v>2863</v>
      </c>
      <c r="G13" s="2755" t="s">
        <v>2864</v>
      </c>
      <c r="H13" s="2755" t="s">
        <v>2864</v>
      </c>
      <c r="I13" s="2755" t="s">
        <v>2864</v>
      </c>
      <c r="J13" s="2756" t="s">
        <v>2864</v>
      </c>
      <c r="K13" s="1371"/>
      <c r="L13" s="1371"/>
      <c r="M13" s="1371"/>
      <c r="N13" s="1371"/>
      <c r="O13" s="1371"/>
      <c r="P13" s="1371"/>
      <c r="Q13" s="1371"/>
      <c r="R13" s="1602">
        <v>12</v>
      </c>
      <c r="S13" s="1603"/>
      <c r="T13" s="1602" t="e">
        <f t="shared" si="0"/>
        <v>#DIV/0!</v>
      </c>
      <c r="U13" s="1603"/>
      <c r="V13" s="1602" t="e">
        <f t="shared" si="1"/>
        <v>#DIV/0!</v>
      </c>
      <c r="W13" s="3282"/>
      <c r="X13" s="1616"/>
      <c r="Y13" s="1613">
        <f>(-0.163*(Y12^2)-0.59*Y12+7617)*(10^(-4))/Y11</f>
        <v>0.42082872928176795</v>
      </c>
      <c r="Z13" s="1613">
        <f t="shared" ref="Z13:AJ13" si="5">(-0.163*(Z12^2)-0.59*Z12+7617)*(10^(-4))/Z11</f>
        <v>0.42082872928176795</v>
      </c>
      <c r="AA13" s="1613">
        <f t="shared" si="5"/>
        <v>0.42082872928176795</v>
      </c>
      <c r="AB13" s="1613">
        <f t="shared" si="5"/>
        <v>0.42082872928176795</v>
      </c>
      <c r="AC13" s="1613">
        <f t="shared" si="5"/>
        <v>0.42082872928176795</v>
      </c>
      <c r="AD13" s="1613">
        <f t="shared" si="5"/>
        <v>0.42082872928176795</v>
      </c>
      <c r="AE13" s="1613">
        <f t="shared" si="5"/>
        <v>0.42082872928176795</v>
      </c>
      <c r="AF13" s="1613">
        <f t="shared" si="5"/>
        <v>0.42082872928176795</v>
      </c>
      <c r="AG13" s="1613">
        <f t="shared" si="5"/>
        <v>0.42082872928176795</v>
      </c>
      <c r="AH13" s="1613">
        <f t="shared" si="5"/>
        <v>0.42082872928176795</v>
      </c>
      <c r="AI13" s="1613">
        <f t="shared" si="5"/>
        <v>0.42082872928176795</v>
      </c>
      <c r="AJ13" s="1613">
        <f t="shared" si="5"/>
        <v>0.42082872928176795</v>
      </c>
    </row>
    <row r="14" spans="1:36" ht="15">
      <c r="A14" s="3287"/>
      <c r="B14" s="2757"/>
      <c r="C14" s="2758"/>
      <c r="D14" s="2759"/>
      <c r="E14" s="2759"/>
      <c r="F14" s="2760"/>
      <c r="G14" s="2761" t="s">
        <v>2865</v>
      </c>
      <c r="H14" s="2762"/>
      <c r="I14" s="2763"/>
      <c r="J14" s="2764"/>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8"/>
      <c r="B15" s="2765" t="s">
        <v>2866</v>
      </c>
      <c r="C15" s="229">
        <f>IF(C14="有",1.1,1)</f>
        <v>1</v>
      </c>
      <c r="D15" s="229">
        <f>IF(D14="有",1.1,1)</f>
        <v>1</v>
      </c>
      <c r="E15" s="229">
        <f>IF(E14="有",1.1,1)</f>
        <v>1</v>
      </c>
      <c r="F15" s="229">
        <f>IF(F14="500米范围内",1.2,IF(F14="500-1000米",1.1,1))</f>
        <v>1</v>
      </c>
      <c r="G15" s="949">
        <v>1</v>
      </c>
      <c r="H15" s="949">
        <v>1</v>
      </c>
      <c r="I15" s="949">
        <v>1</v>
      </c>
      <c r="J15" s="950">
        <v>1</v>
      </c>
      <c r="K15" s="1371"/>
      <c r="L15" s="2766" t="s">
        <v>2802</v>
      </c>
      <c r="M15" s="920" t="s">
        <v>2867</v>
      </c>
      <c r="N15" s="920" t="s">
        <v>2868</v>
      </c>
      <c r="O15" s="920" t="s">
        <v>2869</v>
      </c>
      <c r="P15" s="2767" t="s">
        <v>2870</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69" t="s">
        <v>2871</v>
      </c>
      <c r="B16" s="2734" t="s">
        <v>2872</v>
      </c>
      <c r="C16" s="1801" t="e">
        <f>ROUND(SUM(G17:J17)/C17,0)</f>
        <v>#DIV/0!</v>
      </c>
      <c r="D16" s="2768" t="s">
        <v>2873</v>
      </c>
      <c r="E16" s="2769"/>
      <c r="F16" s="2770"/>
      <c r="G16" s="2771"/>
      <c r="H16" s="2771"/>
      <c r="I16" s="2771"/>
      <c r="J16" s="2772"/>
      <c r="K16" s="1371"/>
      <c r="L16" s="2773" t="s">
        <v>2874</v>
      </c>
      <c r="M16" s="922">
        <v>0.25</v>
      </c>
      <c r="N16" s="922">
        <v>0.2</v>
      </c>
      <c r="O16" s="922">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0"/>
      <c r="B17" s="2774" t="s">
        <v>2875</v>
      </c>
      <c r="C17" s="924">
        <f>SUMPRODUCT((修正!A2:A5=E2)*(修正!B1:M1=G2)*(修正!B2:M5))</f>
        <v>0</v>
      </c>
      <c r="D17" s="2775"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76" t="s">
        <v>2878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77"/>
      <c r="AF17" s="2777"/>
      <c r="AG17" s="2709"/>
      <c r="AH17" s="2709"/>
      <c r="AI17" s="2709"/>
      <c r="AJ17" s="2709"/>
    </row>
    <row r="18" spans="1:37" s="2727" customFormat="1" ht="15.75" thickBot="1">
      <c r="A18" s="2778" t="s">
        <v>808</v>
      </c>
      <c r="B18" s="2779" t="s">
        <v>2879</v>
      </c>
      <c r="C18" s="926">
        <f>SUMIF(修正!C18:C39,E3,修正!E18:E39)</f>
        <v>0</v>
      </c>
      <c r="D18" s="2780"/>
      <c r="E18" s="2781"/>
      <c r="F18" s="2782"/>
      <c r="G18" s="2783"/>
      <c r="H18" s="2783"/>
      <c r="I18" s="2783"/>
      <c r="J18" s="2784"/>
      <c r="K18" s="1378"/>
      <c r="O18" s="1376"/>
      <c r="P18" s="1376"/>
      <c r="Q18" s="1377"/>
      <c r="R18" s="1377"/>
      <c r="S18" s="1377"/>
      <c r="T18" s="1372"/>
      <c r="U18" s="1372"/>
      <c r="V18" s="1372"/>
      <c r="W18" s="1371"/>
      <c r="X18" s="1371"/>
      <c r="Y18" s="1371"/>
      <c r="Z18" s="1378"/>
      <c r="AA18" s="1379"/>
      <c r="AB18" s="1379"/>
      <c r="AC18" s="1379"/>
      <c r="AD18" s="1379"/>
      <c r="AE18" s="1373"/>
      <c r="AF18" s="1373"/>
      <c r="AG18" s="2785"/>
      <c r="AH18" s="2785"/>
      <c r="AI18" s="2785"/>
    </row>
    <row r="19" spans="1:37" s="2727" customFormat="1" ht="27.75" thickBot="1">
      <c r="A19" s="2778" t="s">
        <v>809</v>
      </c>
      <c r="B19" s="2779" t="s">
        <v>2880</v>
      </c>
      <c r="C19" s="927" t="e">
        <f>ROUND(IF(H19="按公示增长率计算",SUMPRODUCT((地价!A3:A23=YEAR(G19)&amp;"-"&amp;ROUNDUP(MONTH(G19)/3,0))*(地价!X2:AB2=E2)*(地价!X3:AB23)),IF(H19="地价指数",M20/M19,(1+I19)^O19)),4)</f>
        <v>#DIV/0!</v>
      </c>
      <c r="D19" s="2786" t="s">
        <v>2881</v>
      </c>
      <c r="E19" s="928">
        <v>41640</v>
      </c>
      <c r="F19" s="2786" t="s">
        <v>2882</v>
      </c>
      <c r="G19" s="929">
        <f>'数据-取费表'!B2</f>
        <v>43293</v>
      </c>
      <c r="H19" s="2787" t="s">
        <v>2883</v>
      </c>
      <c r="I19" s="930" t="str">
        <f>IF(H19="季度增幅（自定义）",SUMIF(N21:N24,E2,O21:O24),"")</f>
        <v/>
      </c>
      <c r="J19" s="2784"/>
      <c r="K19" s="1378"/>
      <c r="L19" s="2788" t="s">
        <v>2884</v>
      </c>
      <c r="M19" s="1734">
        <f>ROUND(SUMIF(地价!B2:F2,E2,地价!B23:F23),0)</f>
        <v>0</v>
      </c>
      <c r="N19" s="2789" t="s">
        <v>2885</v>
      </c>
      <c r="O19" s="931">
        <f>ROUNDDOWN(DATEDIF(E19,G19,"M")/3,0)</f>
        <v>18</v>
      </c>
      <c r="P19" s="1375"/>
      <c r="Q19" s="1377"/>
      <c r="R19" s="1377"/>
      <c r="S19" s="1377"/>
      <c r="T19" s="1372"/>
      <c r="U19" s="1372"/>
      <c r="V19" s="1372"/>
      <c r="W19" s="1371"/>
      <c r="X19" s="1371"/>
      <c r="Y19" s="1371"/>
      <c r="Z19" s="1378"/>
      <c r="AA19" s="1379"/>
      <c r="AB19" s="1379"/>
      <c r="AC19" s="1379"/>
      <c r="AD19" s="1379"/>
      <c r="AE19" s="1379"/>
      <c r="AF19" s="2790"/>
      <c r="AG19" s="2791"/>
      <c r="AH19" s="2785"/>
      <c r="AI19" s="2792"/>
      <c r="AJ19" s="2792"/>
      <c r="AK19" s="2792"/>
    </row>
    <row r="20" spans="1:37" s="2727" customFormat="1" ht="27.75" thickBot="1">
      <c r="A20" s="2793" t="s">
        <v>810</v>
      </c>
      <c r="B20" s="2794" t="s">
        <v>2886</v>
      </c>
      <c r="C20" s="932" t="e">
        <f>ROUND(POWER(1+G20,J20-I20)*(POWER(1+G20,I20)-1)/(POWER(1+G20,J20)-1),4)</f>
        <v>#DIV/0!</v>
      </c>
      <c r="D20" s="2795" t="s">
        <v>2887</v>
      </c>
      <c r="E20" s="1768">
        <f ca="1">存贷款利率!D4/100</f>
        <v>4.3499999999999997E-2</v>
      </c>
      <c r="F20" s="2795" t="s">
        <v>2878</v>
      </c>
      <c r="G20" s="937">
        <f>SUMIF(M15:P15,E2,M17:P17)</f>
        <v>0</v>
      </c>
      <c r="H20" s="2795" t="s">
        <v>2888</v>
      </c>
      <c r="I20" s="938" t="e">
        <f>SUMIF('数据-取费表'!C6:C15,E2,'数据-取费表'!F6:F15)/COUNTIF('数据-取费表'!C6:C15,E2)</f>
        <v>#DIV/0!</v>
      </c>
      <c r="J20" s="939">
        <f>IF(E2="住宅",70,IF(E2="商业",40,50))</f>
        <v>50</v>
      </c>
      <c r="K20" s="1378"/>
      <c r="L20" s="2796" t="s">
        <v>2889</v>
      </c>
      <c r="M20" s="1735">
        <f>ROUND(SUMPRODUCT((地价!A4:A23=YEAR(G19)&amp;"-"&amp;ROUNDUP(MONTH(G19)/3,0))*(地价!B2:F2=E2)*(地价!B4:F23)),0)</f>
        <v>0</v>
      </c>
      <c r="N20" s="2797" t="s">
        <v>2890</v>
      </c>
      <c r="O20" s="2798" t="s">
        <v>2891</v>
      </c>
      <c r="P20" s="2799" t="s">
        <v>2892</v>
      </c>
      <c r="R20" s="1377"/>
      <c r="S20" s="1377"/>
      <c r="T20" s="1372"/>
      <c r="U20" s="1372"/>
      <c r="V20" s="1372"/>
      <c r="W20" s="1371"/>
      <c r="X20" s="1371"/>
      <c r="Y20" s="1371"/>
      <c r="Z20" s="1378"/>
      <c r="AA20" s="1379"/>
      <c r="AB20" s="1379"/>
      <c r="AC20" s="1379"/>
      <c r="AD20" s="1379"/>
      <c r="AE20" s="1379"/>
      <c r="AF20" s="1379"/>
    </row>
    <row r="21" spans="1:37" s="2727" customFormat="1" ht="15">
      <c r="A21" s="2800" t="s">
        <v>811</v>
      </c>
      <c r="B21" s="2801" t="s">
        <v>2893</v>
      </c>
      <c r="C21" s="940">
        <f>IF(B21="容积率修正",IF(G3&lt;=10,D22,J22),C23)</f>
        <v>0</v>
      </c>
      <c r="D21" s="2802"/>
      <c r="E21" s="2802"/>
      <c r="F21" s="2802"/>
      <c r="G21" s="2802"/>
      <c r="H21" s="2802"/>
      <c r="I21" s="2802"/>
      <c r="J21" s="2803"/>
      <c r="K21" s="1378"/>
      <c r="N21" s="2804" t="s">
        <v>2894</v>
      </c>
      <c r="O21" s="1561"/>
      <c r="P21" s="1562">
        <f>SUMPRODUCT((地价!A3:A23=YEAR(G19)&amp;"-"&amp;ROUNDUP(MONTH(G19)/3,0))*(地价!AD2:AH2=N21)*(地价!AD3:AH23))</f>
        <v>1.49E-2</v>
      </c>
      <c r="R21" s="1377"/>
      <c r="S21" s="1377"/>
      <c r="T21" s="1372"/>
      <c r="U21" s="1372"/>
      <c r="V21" s="1372"/>
      <c r="W21" s="1371"/>
      <c r="X21" s="1371"/>
      <c r="Y21" s="1371"/>
      <c r="Z21" s="1378"/>
      <c r="AA21" s="1379"/>
      <c r="AB21" s="1379"/>
      <c r="AC21" s="1379"/>
      <c r="AD21" s="1379"/>
      <c r="AE21" s="1379"/>
      <c r="AF21" s="1379"/>
    </row>
    <row r="22" spans="1:37" s="2727" customFormat="1" ht="14.25">
      <c r="A22" s="2653" t="s">
        <v>2895</v>
      </c>
      <c r="B22" s="2805" t="s">
        <v>2896</v>
      </c>
      <c r="C22" s="1810" t="s">
        <v>2897</v>
      </c>
      <c r="D22" s="1810">
        <f>IF(E22=G22,F22,IF(G3&lt;=10,ROUND(F22+(H22-F22)*(G3-E22)/(G22-E22),4),"——"))</f>
        <v>0</v>
      </c>
      <c r="E22" s="916">
        <f>ROUNDDOWN(G3,1)</f>
        <v>1.8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1.9000000000000001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78"/>
      <c r="N22" s="2804" t="s">
        <v>2898</v>
      </c>
      <c r="O22" s="1561"/>
      <c r="P22" s="1562">
        <f>SUMPRODUCT((地价!A3:A23=YEAR(G19)&amp;"-"&amp;ROUNDUP(MONTH(G19)/3,0))*(地价!AD2:AH2=N22)*(地价!AD3:AH23))</f>
        <v>1.49E-2</v>
      </c>
      <c r="R22" s="1377"/>
      <c r="S22" s="1377"/>
      <c r="T22" s="1372"/>
      <c r="U22" s="1372"/>
      <c r="V22" s="1372"/>
      <c r="W22" s="1371"/>
      <c r="X22" s="1371"/>
      <c r="Y22" s="1371"/>
      <c r="Z22" s="1378"/>
      <c r="AA22" s="1379"/>
      <c r="AB22" s="1379"/>
      <c r="AC22" s="1379"/>
      <c r="AD22" s="1379"/>
      <c r="AE22" s="1379"/>
      <c r="AF22" s="1379"/>
    </row>
    <row r="23" spans="1:37" ht="27.75" thickBot="1">
      <c r="A23" s="2653" t="s">
        <v>2899</v>
      </c>
      <c r="B23" s="2806" t="s">
        <v>2900</v>
      </c>
      <c r="C23" s="1016">
        <f>ROUND(IF(G3&gt;1,IF(I3&lt;7,SUMPRODUCT((B93:B98=I3)*(C92:N92=G2)*(C93:N98)),SUMIF(C92:N92,G2,C100:N100)),IF(I3&lt;7,SUMPRODUCT((B102:B107=I3)*(C92:N92=G2)*(C102:N107)),SUMIF(C92:N92,G2,C109:N109))),4)</f>
        <v>0</v>
      </c>
      <c r="D23" s="2762"/>
      <c r="E23" s="2762"/>
      <c r="F23" s="2807"/>
      <c r="G23" s="2808"/>
      <c r="H23" s="2809"/>
      <c r="I23" s="2810"/>
      <c r="J23" s="2811"/>
      <c r="K23" s="1371"/>
      <c r="N23" s="2804" t="s">
        <v>2901</v>
      </c>
      <c r="O23" s="1561"/>
      <c r="P23" s="1562">
        <f>SUMPRODUCT((地价!A3:A23=YEAR(G19)&amp;"-"&amp;ROUNDUP(MONTH(G19)/3,0))*(地价!AD2:AH2=N23)*(地价!AD3:AH23))</f>
        <v>2.3699999999999999E-2</v>
      </c>
      <c r="R23" s="1377"/>
      <c r="S23" s="1377"/>
      <c r="T23" s="1372"/>
      <c r="U23" s="1372"/>
      <c r="V23" s="1372"/>
      <c r="W23" s="1371"/>
      <c r="X23" s="1371"/>
      <c r="Y23" s="1371"/>
      <c r="Z23" s="1378"/>
      <c r="AA23" s="1379"/>
      <c r="AB23" s="1379"/>
      <c r="AC23" s="1379"/>
      <c r="AD23" s="1379"/>
      <c r="AK23" s="2785"/>
    </row>
    <row r="24" spans="1:37" s="2727" customFormat="1" ht="15.75" thickBot="1">
      <c r="A24" s="2793" t="s">
        <v>812</v>
      </c>
      <c r="B24" s="2779" t="s">
        <v>2902</v>
      </c>
      <c r="C24" s="927">
        <f>SUMIF(A45:A88,E2,B45:B88)</f>
        <v>0</v>
      </c>
      <c r="D24" s="2782"/>
      <c r="E24" s="2812"/>
      <c r="F24" s="2812"/>
      <c r="G24" s="2812"/>
      <c r="H24" s="2812"/>
      <c r="I24" s="2812"/>
      <c r="J24" s="2813"/>
      <c r="K24" s="1378"/>
      <c r="N24" s="2814" t="s">
        <v>2903</v>
      </c>
      <c r="O24" s="1563"/>
      <c r="P24" s="1564">
        <f>SUMPRODUCT((地价!A3:A23=YEAR(G19)&amp;"-"&amp;ROUNDUP(MONTH(G19)/3,0))*(地价!AD2:AH2=N24)*(地价!AD3:AH23))</f>
        <v>1.2800000000000001E-2</v>
      </c>
      <c r="R24" s="1377"/>
      <c r="S24" s="1377"/>
      <c r="T24" s="1372"/>
      <c r="U24" s="1372"/>
      <c r="V24" s="1372"/>
      <c r="W24" s="1371"/>
      <c r="X24" s="1371"/>
      <c r="Y24" s="1371"/>
      <c r="Z24" s="1378"/>
      <c r="AA24" s="1379"/>
      <c r="AB24" s="1379"/>
      <c r="AC24" s="1379"/>
      <c r="AD24" s="1379"/>
      <c r="AE24" s="1379"/>
      <c r="AF24" s="1379"/>
    </row>
    <row r="25" spans="1:37" ht="15.75" thickBot="1">
      <c r="A25" s="2793" t="s">
        <v>813</v>
      </c>
      <c r="B25" s="2815" t="s">
        <v>2904</v>
      </c>
      <c r="C25" s="933"/>
      <c r="D25" s="2737"/>
      <c r="E25" s="2737"/>
      <c r="F25" s="2816"/>
      <c r="G25" s="2737"/>
      <c r="H25" s="2737"/>
      <c r="I25" s="2737"/>
      <c r="J25" s="2738"/>
      <c r="K25" s="1371"/>
      <c r="N25" s="2817" t="s">
        <v>2905</v>
      </c>
      <c r="O25" s="1565"/>
      <c r="P25" s="1564">
        <f>SUMPRODUCT((地价!A3:A23=YEAR(G19)&amp;"-"&amp;ROUNDUP(MONTH(G19)/3,0))*(地价!AD2:AH2=N25)*(地价!AD3:AH23))</f>
        <v>2.1499999999999998E-2</v>
      </c>
      <c r="R25" s="1377"/>
      <c r="S25" s="1377"/>
      <c r="T25" s="1372"/>
      <c r="U25" s="1372"/>
      <c r="V25" s="1372"/>
      <c r="W25" s="1371"/>
      <c r="X25" s="1371"/>
      <c r="Y25" s="1371"/>
      <c r="Z25" s="1378"/>
      <c r="AA25" s="1379"/>
      <c r="AB25" s="1379"/>
      <c r="AC25" s="1379"/>
      <c r="AD25" s="1379"/>
    </row>
    <row r="26" spans="1:37" ht="15">
      <c r="A26" s="2818"/>
      <c r="B26" s="2805" t="s">
        <v>2906</v>
      </c>
      <c r="C26" s="206" t="e">
        <f>E29+SUM(E33:E39)</f>
        <v>#DIV/0!</v>
      </c>
      <c r="D26" s="2819"/>
      <c r="E26" s="2762"/>
      <c r="F26" s="2820"/>
      <c r="G26" s="2762"/>
      <c r="H26" s="2762"/>
      <c r="I26" s="2762"/>
      <c r="J26" s="2821"/>
      <c r="K26" s="1371"/>
      <c r="R26" s="1377"/>
      <c r="S26" s="1377"/>
      <c r="T26" s="1372"/>
      <c r="U26" s="1372"/>
      <c r="V26" s="1372"/>
      <c r="W26" s="1371"/>
      <c r="X26" s="1371"/>
      <c r="Y26" s="1371"/>
      <c r="Z26" s="1378"/>
      <c r="AA26" s="1379"/>
      <c r="AB26" s="1379"/>
      <c r="AC26" s="1379"/>
      <c r="AD26" s="1379"/>
    </row>
    <row r="27" spans="1:37" ht="15.75" thickBot="1">
      <c r="A27" s="2818"/>
      <c r="B27" s="2822" t="s">
        <v>2907</v>
      </c>
      <c r="C27" s="934" t="e">
        <f>E30+SUM(I33:I39)</f>
        <v>#DIV/0!</v>
      </c>
      <c r="D27" s="2823"/>
      <c r="E27" s="2824"/>
      <c r="F27" s="2825"/>
      <c r="G27" s="2824"/>
      <c r="H27" s="2824"/>
      <c r="I27" s="2824"/>
      <c r="J27" s="282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27"/>
      <c r="B28" s="2828" t="s">
        <v>2908</v>
      </c>
      <c r="C28" s="2829" t="s">
        <v>2909</v>
      </c>
      <c r="D28" s="2829" t="s">
        <v>2910</v>
      </c>
      <c r="E28" s="2830" t="s">
        <v>2911</v>
      </c>
      <c r="F28" s="2831"/>
      <c r="G28" s="2750"/>
      <c r="H28" s="2750"/>
      <c r="I28" s="2750"/>
      <c r="J28" s="275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2"/>
      <c r="B29" s="2833" t="s">
        <v>2912</v>
      </c>
      <c r="C29" s="206" t="e">
        <f>ROUND(C5*C18*C19*C20*C21*C24,0)</f>
        <v>#DIV/0!</v>
      </c>
      <c r="D29" s="2834"/>
      <c r="E29" s="945" t="e">
        <f>ROUND(C29*D29/10000,0)</f>
        <v>#DIV/0!</v>
      </c>
      <c r="F29" s="2835" t="s">
        <v>2913</v>
      </c>
      <c r="G29" s="2836"/>
      <c r="H29" s="2836"/>
      <c r="I29" s="2836"/>
      <c r="J29" s="2837"/>
      <c r="K29" s="1371"/>
      <c r="L29" s="1371"/>
      <c r="M29" s="1371"/>
      <c r="N29" s="1371"/>
      <c r="O29" s="1376"/>
      <c r="P29" s="1376"/>
      <c r="Q29" s="1377"/>
      <c r="R29" s="1377"/>
      <c r="S29" s="1377"/>
      <c r="T29" s="1372"/>
      <c r="U29" s="1372"/>
      <c r="V29" s="1372"/>
      <c r="W29" s="1371"/>
      <c r="X29" s="1371"/>
      <c r="Y29" s="1371"/>
      <c r="Z29" s="1378"/>
      <c r="AA29" s="1379"/>
      <c r="AB29" s="1379"/>
      <c r="AC29" s="1379"/>
      <c r="AD29" s="1379"/>
      <c r="AE29" s="2777"/>
      <c r="AF29" s="2777"/>
      <c r="AG29" s="2709"/>
      <c r="AH29" s="2709"/>
      <c r="AI29" s="2709"/>
      <c r="AJ29" s="2709"/>
    </row>
    <row r="30" spans="1:37" ht="25.5" thickBot="1">
      <c r="A30" s="2838"/>
      <c r="B30" s="2839" t="s">
        <v>2914</v>
      </c>
      <c r="C30" s="229" t="e">
        <f>ROUND(IF(E2="工业",C29*M39,C29*M38),0)</f>
        <v>#DIV/0!</v>
      </c>
      <c r="D30" s="2840"/>
      <c r="E30" s="945" t="e">
        <f>ROUND(C30*D30/10000,0)</f>
        <v>#DIV/0!</v>
      </c>
      <c r="F30" s="2841" t="s">
        <v>2915</v>
      </c>
      <c r="G30" s="2842"/>
      <c r="H30" s="2842"/>
      <c r="I30" s="2842"/>
      <c r="J30" s="2843"/>
      <c r="K30" s="1371"/>
      <c r="L30" s="1371"/>
      <c r="M30" s="1371"/>
      <c r="N30" s="1371"/>
      <c r="O30" s="1376"/>
      <c r="P30" s="1376"/>
      <c r="Q30" s="1377"/>
      <c r="R30" s="1377"/>
      <c r="S30" s="1377"/>
      <c r="T30" s="1372"/>
      <c r="U30" s="1372"/>
      <c r="V30" s="1372"/>
      <c r="W30" s="1371"/>
      <c r="X30" s="1371"/>
      <c r="Y30" s="1371"/>
      <c r="Z30" s="1378"/>
      <c r="AA30" s="1379"/>
      <c r="AB30" s="1379"/>
      <c r="AC30" s="1379"/>
      <c r="AD30" s="1379"/>
      <c r="AE30" s="2777"/>
      <c r="AF30" s="2777"/>
      <c r="AG30" s="2709"/>
      <c r="AH30" s="2709"/>
      <c r="AI30" s="2709"/>
      <c r="AJ30" s="2709"/>
    </row>
    <row r="31" spans="1:37" ht="14.25">
      <c r="A31" s="2844"/>
      <c r="B31" s="2845" t="s">
        <v>2916</v>
      </c>
      <c r="C31" s="2846" t="s">
        <v>2917</v>
      </c>
      <c r="D31" s="2750"/>
      <c r="E31" s="2846"/>
      <c r="F31" s="2846"/>
      <c r="G31" s="2748" t="s">
        <v>2918</v>
      </c>
      <c r="H31" s="2750"/>
      <c r="I31" s="2847"/>
      <c r="J31" s="2751"/>
      <c r="K31" s="1371"/>
      <c r="L31" s="1371"/>
      <c r="M31" s="1371"/>
      <c r="N31" s="1371"/>
      <c r="O31" s="1376"/>
      <c r="P31" s="1376"/>
      <c r="Q31" s="1377"/>
      <c r="R31" s="1377"/>
      <c r="S31" s="1377"/>
      <c r="T31" s="1372"/>
      <c r="U31" s="1372"/>
      <c r="V31" s="1372"/>
      <c r="W31" s="1371"/>
      <c r="X31" s="1371"/>
      <c r="Y31" s="1371"/>
      <c r="Z31" s="1378"/>
      <c r="AA31" s="1379"/>
      <c r="AB31" s="1379"/>
      <c r="AC31" s="1379"/>
      <c r="AD31" s="1379"/>
      <c r="AE31" s="2777"/>
      <c r="AF31" s="2777"/>
      <c r="AG31" s="2709"/>
      <c r="AH31" s="2709"/>
      <c r="AI31" s="2709"/>
      <c r="AJ31" s="2709"/>
    </row>
    <row r="32" spans="1:37" ht="24">
      <c r="A32" s="2832"/>
      <c r="B32" s="2848"/>
      <c r="C32" s="501" t="s">
        <v>2909</v>
      </c>
      <c r="D32" s="498" t="s">
        <v>2910</v>
      </c>
      <c r="E32" s="498" t="s">
        <v>2911</v>
      </c>
      <c r="F32" s="388" t="s">
        <v>2919</v>
      </c>
      <c r="G32" s="2849" t="s">
        <v>2909</v>
      </c>
      <c r="H32" s="2849" t="s">
        <v>2910</v>
      </c>
      <c r="I32" s="2849" t="s">
        <v>2911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77"/>
      <c r="AF32" s="2777"/>
      <c r="AG32" s="2709"/>
      <c r="AH32" s="2709"/>
      <c r="AI32" s="2709"/>
      <c r="AJ32" s="2709"/>
    </row>
    <row r="33" spans="1:37" ht="36" customHeight="1">
      <c r="A33" s="3277" t="s">
        <v>2920</v>
      </c>
      <c r="B33" s="2850" t="s">
        <v>2921</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8"/>
      <c r="B34" s="2754" t="s">
        <v>2922</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8"/>
      <c r="B35" s="2754" t="s">
        <v>2923</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1"/>
      <c r="L35" s="1371"/>
      <c r="M35" s="1371"/>
      <c r="N35" s="1371"/>
      <c r="O35" s="1371"/>
      <c r="P35" s="1371"/>
      <c r="Q35" s="1371"/>
      <c r="R35" s="1371"/>
      <c r="S35" s="1371"/>
      <c r="T35" s="1371"/>
      <c r="U35" s="1371"/>
      <c r="V35" s="1371"/>
      <c r="W35" s="1371"/>
      <c r="X35" s="1371"/>
      <c r="Y35" s="1371"/>
      <c r="Z35" s="1372"/>
    </row>
    <row r="36" spans="1:37" ht="13.5" thickBot="1">
      <c r="A36" s="3279"/>
      <c r="B36" s="2754" t="s">
        <v>2924</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1"/>
      <c r="L36" s="2708"/>
      <c r="M36" s="2708"/>
      <c r="N36" s="1371"/>
      <c r="O36" s="1371"/>
      <c r="P36" s="1371"/>
      <c r="Q36" s="1371"/>
      <c r="R36" s="1371"/>
      <c r="S36" s="1371"/>
      <c r="T36" s="1371"/>
      <c r="U36" s="1371"/>
      <c r="V36" s="1371"/>
      <c r="W36" s="1371"/>
      <c r="X36" s="1371"/>
      <c r="Y36" s="1371"/>
      <c r="Z36" s="1372"/>
    </row>
    <row r="37" spans="1:37">
      <c r="A37" s="2852"/>
      <c r="B37" s="2754" t="s">
        <v>2925</v>
      </c>
      <c r="C37" s="200" t="e">
        <f>ROUND(C5*C19*C20*C24*F37,0)</f>
        <v>#DIV/0!</v>
      </c>
      <c r="D37" s="2834"/>
      <c r="E37" s="200" t="e">
        <f t="shared" si="7"/>
        <v>#DIV/0!</v>
      </c>
      <c r="F37" s="206">
        <f>SUMIF(修正!A45:A56,G2,修正!F45:F56)</f>
        <v>0</v>
      </c>
      <c r="G37" s="200" t="e">
        <f>ROUND(IF(E2="工业",C37*$M$39,C37*$M$38),0)</f>
        <v>#DIV/0!</v>
      </c>
      <c r="H37" s="200">
        <f t="shared" si="8"/>
        <v>0</v>
      </c>
      <c r="I37" s="200" t="e">
        <f t="shared" si="9"/>
        <v>#DIV/0!</v>
      </c>
      <c r="J37" s="2851"/>
      <c r="K37" s="1371"/>
      <c r="L37" s="2853" t="s">
        <v>2926</v>
      </c>
      <c r="M37" s="2854"/>
      <c r="N37" s="1371"/>
      <c r="O37" s="1371"/>
      <c r="P37" s="1371"/>
      <c r="Q37" s="1371"/>
      <c r="R37" s="1371"/>
      <c r="S37" s="1371"/>
      <c r="T37" s="1371"/>
      <c r="U37" s="1371"/>
      <c r="V37" s="1371"/>
      <c r="W37" s="1371"/>
      <c r="X37" s="1371"/>
      <c r="Y37" s="1371"/>
      <c r="Z37" s="1372"/>
    </row>
    <row r="38" spans="1:37">
      <c r="A38" s="2852"/>
      <c r="B38" s="2754" t="s">
        <v>2927</v>
      </c>
      <c r="C38" s="200" t="e">
        <f>ROUND(C5*C19*C20*C24*F38,0)</f>
        <v>#DIV/0!</v>
      </c>
      <c r="D38" s="2834"/>
      <c r="E38" s="200" t="e">
        <f t="shared" si="7"/>
        <v>#DIV/0!</v>
      </c>
      <c r="F38" s="206">
        <f>SUMIF(修正!A45:A56,G2,修正!G45:G56)</f>
        <v>0</v>
      </c>
      <c r="G38" s="200" t="e">
        <f>ROUND(IF(E2="工业",C38*$M$39,C38*$M$38),0)</f>
        <v>#DIV/0!</v>
      </c>
      <c r="H38" s="200">
        <f t="shared" si="8"/>
        <v>0</v>
      </c>
      <c r="I38" s="200" t="e">
        <f t="shared" si="9"/>
        <v>#DIV/0!</v>
      </c>
      <c r="J38" s="2851"/>
      <c r="K38" s="1371"/>
      <c r="L38" s="1887" t="s">
        <v>2928</v>
      </c>
      <c r="M38" s="2855">
        <v>0.25</v>
      </c>
      <c r="N38" s="1371"/>
      <c r="O38" s="1371"/>
      <c r="P38" s="1371"/>
      <c r="Q38" s="1371"/>
      <c r="R38" s="1371"/>
      <c r="S38" s="1371"/>
      <c r="T38" s="1371"/>
      <c r="U38" s="1371"/>
      <c r="V38" s="1371"/>
      <c r="W38" s="1371"/>
      <c r="X38" s="1371"/>
      <c r="Y38" s="1371"/>
      <c r="Z38" s="1372"/>
    </row>
    <row r="39" spans="1:37" ht="13.5" thickBot="1">
      <c r="A39" s="2838"/>
      <c r="B39" s="2856" t="s">
        <v>2929</v>
      </c>
      <c r="C39" s="229" t="e">
        <f>ROUND(C5*C19*C20*C24*F39,0)</f>
        <v>#DIV/0!</v>
      </c>
      <c r="D39" s="2840"/>
      <c r="E39" s="229" t="e">
        <f t="shared" si="7"/>
        <v>#DIV/0!</v>
      </c>
      <c r="F39" s="935">
        <f>SUMIF(修正!A45:A56,G2,修正!H45:H56)</f>
        <v>0</v>
      </c>
      <c r="G39" s="229" t="e">
        <f>ROUND(IF(E2="工业",C39*$M$39,C39*$M$38),0)</f>
        <v>#DIV/0!</v>
      </c>
      <c r="H39" s="229">
        <f t="shared" si="8"/>
        <v>0</v>
      </c>
      <c r="I39" s="229" t="e">
        <f t="shared" si="9"/>
        <v>#DIV/0!</v>
      </c>
      <c r="J39" s="2857"/>
      <c r="K39" s="1371"/>
      <c r="L39" s="2858" t="s">
        <v>2870</v>
      </c>
      <c r="M39" s="285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0"/>
      <c r="Z41" s="1372"/>
      <c r="AA41" s="1372"/>
      <c r="AB41" s="1372"/>
      <c r="AC41" s="1372"/>
      <c r="AD41" s="1372"/>
      <c r="AE41" s="1372"/>
      <c r="AF41" s="1372"/>
      <c r="AG41" s="1372"/>
      <c r="AH41" s="1372"/>
      <c r="AI41" s="1372"/>
      <c r="AJ41" s="1372"/>
    </row>
    <row r="42" spans="1:37" s="1371" customFormat="1">
      <c r="A42" s="1372"/>
      <c r="B42" s="2860"/>
      <c r="Z42" s="1372"/>
      <c r="AA42" s="1372"/>
      <c r="AB42" s="1372"/>
      <c r="AC42" s="1372"/>
      <c r="AD42" s="1372"/>
      <c r="AE42" s="1372"/>
      <c r="AF42" s="1372"/>
      <c r="AG42" s="1372"/>
      <c r="AH42" s="1372"/>
      <c r="AI42" s="1372"/>
      <c r="AJ42" s="1372"/>
    </row>
    <row r="43" spans="1:37" s="1371" customFormat="1">
      <c r="A43" s="1372"/>
      <c r="B43" s="2860"/>
      <c r="Z43" s="1372"/>
      <c r="AA43" s="1372"/>
      <c r="AB43" s="1372"/>
      <c r="AC43" s="1372"/>
      <c r="AD43" s="1372"/>
      <c r="AE43" s="1372"/>
      <c r="AF43" s="1372"/>
      <c r="AG43" s="1372"/>
      <c r="AH43" s="1372"/>
      <c r="AI43" s="1372"/>
      <c r="AJ43" s="1372"/>
    </row>
    <row r="44" spans="1:37" s="1371" customFormat="1">
      <c r="A44" s="1372"/>
      <c r="B44" s="2860"/>
      <c r="Z44" s="1372"/>
      <c r="AA44" s="1372"/>
      <c r="AB44" s="1372"/>
      <c r="AC44" s="1372"/>
      <c r="AD44" s="1372"/>
      <c r="AE44" s="1372"/>
      <c r="AF44" s="1372"/>
      <c r="AG44" s="1372"/>
      <c r="AH44" s="1372"/>
      <c r="AI44" s="1372"/>
      <c r="AJ44" s="1372"/>
    </row>
    <row r="45" spans="1:37" s="1371" customFormat="1" ht="15.75" thickBot="1">
      <c r="A45" s="2861" t="s">
        <v>2930</v>
      </c>
      <c r="B45" s="2862"/>
      <c r="C45" s="7"/>
      <c r="D45" s="7"/>
      <c r="E45" s="7"/>
      <c r="F45" s="6"/>
      <c r="G45" s="6"/>
      <c r="H45" s="6"/>
      <c r="I45" s="7"/>
      <c r="J45" s="7"/>
      <c r="K45" s="7"/>
      <c r="L45" s="7"/>
      <c r="M45" s="7"/>
      <c r="N45" s="2777"/>
      <c r="Z45" s="1372"/>
      <c r="AA45" s="1372"/>
      <c r="AB45" s="1372"/>
      <c r="AC45" s="1372"/>
      <c r="AD45" s="1372"/>
      <c r="AE45" s="1372"/>
      <c r="AF45" s="1372"/>
      <c r="AG45" s="1372"/>
      <c r="AH45" s="1372"/>
      <c r="AI45" s="1372"/>
      <c r="AJ45" s="1372"/>
    </row>
    <row r="46" spans="1:37" s="1371" customFormat="1" ht="15">
      <c r="A46" s="2863" t="s">
        <v>2931</v>
      </c>
      <c r="B46" s="2864">
        <f>1+E48</f>
        <v>1</v>
      </c>
      <c r="C46" s="2865"/>
      <c r="D46" s="814"/>
      <c r="E46" s="815"/>
      <c r="F46" s="2866"/>
      <c r="G46" s="6"/>
      <c r="H46" s="7"/>
      <c r="I46" s="7"/>
      <c r="J46" s="7"/>
      <c r="K46" s="7"/>
      <c r="L46" s="7"/>
      <c r="M46" s="7"/>
      <c r="N46" s="2777"/>
      <c r="Z46" s="1372"/>
      <c r="AA46" s="1372"/>
      <c r="AB46" s="1372"/>
      <c r="AC46" s="1372"/>
      <c r="AD46" s="1372"/>
      <c r="AE46" s="1372"/>
      <c r="AF46" s="1372"/>
      <c r="AG46" s="1372"/>
      <c r="AH46" s="1372"/>
      <c r="AI46" s="1372"/>
      <c r="AJ46" s="1372"/>
    </row>
    <row r="47" spans="1:37" s="1371" customFormat="1" ht="24.75">
      <c r="A47" s="2867" t="s">
        <v>2932</v>
      </c>
      <c r="B47" s="1809" t="s">
        <v>2933</v>
      </c>
      <c r="C47" s="1809" t="s">
        <v>2934</v>
      </c>
      <c r="D47" s="1809" t="s">
        <v>2935</v>
      </c>
      <c r="E47" s="819" t="s">
        <v>2936</v>
      </c>
      <c r="F47" s="2868" t="s">
        <v>2937</v>
      </c>
      <c r="G47" s="1809" t="s">
        <v>754</v>
      </c>
      <c r="H47" s="2869" t="s">
        <v>2938</v>
      </c>
      <c r="I47" s="1809" t="s">
        <v>2939</v>
      </c>
      <c r="J47" s="603" t="s">
        <v>2585</v>
      </c>
      <c r="K47" s="603" t="s">
        <v>2586</v>
      </c>
      <c r="L47" s="603" t="s">
        <v>2587</v>
      </c>
      <c r="M47" s="603" t="s">
        <v>2588</v>
      </c>
      <c r="N47" s="603" t="s">
        <v>2589</v>
      </c>
      <c r="AA47" s="1372"/>
      <c r="AB47" s="1372"/>
      <c r="AC47" s="1372"/>
      <c r="AD47" s="1372"/>
      <c r="AE47" s="1372"/>
      <c r="AF47" s="1372"/>
      <c r="AG47" s="1372"/>
      <c r="AH47" s="1372"/>
      <c r="AI47" s="1372"/>
      <c r="AJ47" s="1372"/>
      <c r="AK47" s="1372"/>
    </row>
    <row r="48" spans="1:37" s="1371" customFormat="1" ht="38.25">
      <c r="A48" s="2867" t="s">
        <v>2940</v>
      </c>
      <c r="B48" s="2870" t="str">
        <f>估价对象房地状况!C4</f>
        <v>估价对象位于XX商圈，周边商业氛围成熟，人流量大，商业繁华度好</v>
      </c>
      <c r="C48" s="2759"/>
      <c r="D48" s="1287">
        <f t="shared" ref="D48:D56" si="10">SUMIF($J$47:$N$47,C48,J48:N48)</f>
        <v>0</v>
      </c>
      <c r="E48" s="821">
        <f>ROUND(SUM(D48:D56),4)</f>
        <v>0</v>
      </c>
      <c r="F48" s="2490"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14.75">
      <c r="A49" s="2867" t="s">
        <v>2941</v>
      </c>
      <c r="B49" s="2871" t="str">
        <f>估价对象房地状况!C18</f>
        <v>估价对象所属项目北侧距南四环路约1公里，西距西五环约2公里，周边1公里以内有470、快速直达107.快速直达112，快速直达119、专63等公共交通线路，停车便捷程度，综合评价交通便捷度较好。</v>
      </c>
      <c r="C49" s="2759"/>
      <c r="D49" s="1287">
        <f t="shared" si="10"/>
        <v>0</v>
      </c>
      <c r="E49" s="822"/>
      <c r="F49" s="2490"/>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67" t="s">
        <v>2942</v>
      </c>
      <c r="B50" s="2871">
        <f>估价对象房地状况!C19</f>
        <v>0</v>
      </c>
      <c r="C50" s="2759"/>
      <c r="D50" s="1287">
        <f t="shared" si="10"/>
        <v>0</v>
      </c>
      <c r="E50" s="822"/>
      <c r="F50" s="2490"/>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67" t="s">
        <v>2943</v>
      </c>
      <c r="B51" s="2872" t="s">
        <v>2944</v>
      </c>
      <c r="C51" s="2759"/>
      <c r="D51" s="1287">
        <f t="shared" si="10"/>
        <v>0</v>
      </c>
      <c r="E51" s="822"/>
      <c r="F51" s="2490"/>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67" t="s">
        <v>2945</v>
      </c>
      <c r="B52" s="2871" t="str">
        <f>估价对象房地状况!C24</f>
        <v>城市支路</v>
      </c>
      <c r="C52" s="2759"/>
      <c r="D52" s="1287">
        <f t="shared" si="10"/>
        <v>0</v>
      </c>
      <c r="E52" s="822"/>
      <c r="F52" s="2490"/>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67" t="s">
        <v>2946</v>
      </c>
      <c r="B53" s="2873" t="s">
        <v>2947</v>
      </c>
      <c r="C53" s="2759"/>
      <c r="D53" s="1287">
        <f t="shared" si="10"/>
        <v>0</v>
      </c>
      <c r="E53" s="822"/>
      <c r="F53" s="2490"/>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127.5">
      <c r="A54" s="2874" t="s">
        <v>2948</v>
      </c>
      <c r="B54"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59"/>
      <c r="D54" s="1287">
        <f t="shared" si="10"/>
        <v>0</v>
      </c>
      <c r="E54" s="822"/>
      <c r="F54" s="2490"/>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74" t="s">
        <v>2949</v>
      </c>
      <c r="B55" s="2871" t="str">
        <f>估价对象房地状况!C22</f>
        <v>估价对象所在区域基础设施达五通。</v>
      </c>
      <c r="C55" s="2759"/>
      <c r="D55" s="1287">
        <f t="shared" si="10"/>
        <v>0</v>
      </c>
      <c r="E55" s="822"/>
      <c r="F55" s="2490"/>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75" t="s">
        <v>2950</v>
      </c>
      <c r="B56" s="2876" t="str">
        <f>估价对象房地状况!C20</f>
        <v>估价对象周边人文环境一般；有御康公园，自然环境一般；综合评价环境状况一般。</v>
      </c>
      <c r="C56" s="2759"/>
      <c r="D56" s="1287">
        <f t="shared" si="10"/>
        <v>0</v>
      </c>
      <c r="E56" s="825"/>
      <c r="F56" s="2490"/>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63" t="s">
        <v>2951</v>
      </c>
      <c r="B57" s="2864">
        <f>1+E59</f>
        <v>1</v>
      </c>
      <c r="C57" s="814"/>
      <c r="D57" s="814"/>
      <c r="E57" s="815"/>
      <c r="F57" s="286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67" t="s">
        <v>2932</v>
      </c>
      <c r="B58" s="1809"/>
      <c r="C58" s="1809" t="s">
        <v>2934</v>
      </c>
      <c r="D58" s="1809" t="s">
        <v>2935</v>
      </c>
      <c r="E58" s="819" t="s">
        <v>2936</v>
      </c>
      <c r="F58" s="2868" t="s">
        <v>2952</v>
      </c>
      <c r="G58" s="1809" t="s">
        <v>754</v>
      </c>
      <c r="H58" s="2869" t="s">
        <v>2938</v>
      </c>
      <c r="I58" s="1809" t="s">
        <v>2939</v>
      </c>
      <c r="J58" s="603" t="s">
        <v>2585</v>
      </c>
      <c r="K58" s="603" t="s">
        <v>2586</v>
      </c>
      <c r="L58" s="603" t="s">
        <v>2587</v>
      </c>
      <c r="M58" s="603" t="s">
        <v>2588</v>
      </c>
      <c r="N58" s="603" t="s">
        <v>2589</v>
      </c>
      <c r="AA58" s="1372"/>
      <c r="AB58" s="1372"/>
      <c r="AC58" s="1372"/>
      <c r="AD58" s="1372"/>
      <c r="AE58" s="1372"/>
      <c r="AF58" s="1372"/>
      <c r="AG58" s="1372"/>
      <c r="AH58" s="1372"/>
      <c r="AI58" s="1372"/>
      <c r="AJ58" s="1372"/>
      <c r="AK58" s="1372"/>
    </row>
    <row r="59" spans="1:37" s="1371" customFormat="1" ht="63.75">
      <c r="A59" s="2867" t="s">
        <v>2953</v>
      </c>
      <c r="B59" s="2870" t="str">
        <f>估价对象房地状况!C17</f>
        <v>估价对象位于科技园商圈，周边办公楼项目有总部基地，诺德中心，汉威大厦等，入驻率高，办公集聚程度较好</v>
      </c>
      <c r="C59" s="2759"/>
      <c r="D59" s="1287">
        <f t="shared" ref="D59:D67" si="15">SUMIF($J$58:$N$58,C59,J59:N59)</f>
        <v>0</v>
      </c>
      <c r="E59" s="821">
        <f>ROUND(SUM(D59:D67),4)</f>
        <v>0</v>
      </c>
      <c r="F59" s="2490"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14.75">
      <c r="A60" s="2867" t="s">
        <v>2941</v>
      </c>
      <c r="B60" s="2871" t="str">
        <f>估价对象房地状况!C18</f>
        <v>估价对象所属项目北侧距南四环路约1公里，西距西五环约2公里，周边1公里以内有470、快速直达107.快速直达112，快速直达119、专63等公共交通线路，停车便捷程度，综合评价交通便捷度较好。</v>
      </c>
      <c r="C60" s="2759"/>
      <c r="D60" s="1287">
        <f t="shared" si="15"/>
        <v>0</v>
      </c>
      <c r="E60" s="822"/>
      <c r="F60" s="2490"/>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67" t="s">
        <v>2942</v>
      </c>
      <c r="B61" s="2871">
        <f>估价对象房地状况!C19</f>
        <v>0</v>
      </c>
      <c r="C61" s="2759"/>
      <c r="D61" s="1287">
        <f t="shared" si="15"/>
        <v>0</v>
      </c>
      <c r="E61" s="822"/>
      <c r="F61" s="2490"/>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67" t="s">
        <v>2943</v>
      </c>
      <c r="B62" s="2872" t="s">
        <v>2944</v>
      </c>
      <c r="C62" s="2759"/>
      <c r="D62" s="1287">
        <f t="shared" si="15"/>
        <v>0</v>
      </c>
      <c r="E62" s="822"/>
      <c r="F62" s="2490"/>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67" t="s">
        <v>2945</v>
      </c>
      <c r="B63" s="2871" t="str">
        <f>估价对象房地状况!C24</f>
        <v>城市支路</v>
      </c>
      <c r="C63" s="2759"/>
      <c r="D63" s="1287">
        <f t="shared" si="15"/>
        <v>0</v>
      </c>
      <c r="E63" s="822"/>
      <c r="F63" s="2490"/>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67" t="s">
        <v>2946</v>
      </c>
      <c r="B64" s="2873" t="s">
        <v>2947</v>
      </c>
      <c r="C64" s="2759"/>
      <c r="D64" s="1287">
        <f t="shared" si="15"/>
        <v>0</v>
      </c>
      <c r="E64" s="822"/>
      <c r="F64" s="2490"/>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127.5">
      <c r="A65" s="2867" t="s">
        <v>2948</v>
      </c>
      <c r="B65"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59"/>
      <c r="D65" s="1287">
        <f t="shared" si="15"/>
        <v>0</v>
      </c>
      <c r="E65" s="822"/>
      <c r="F65" s="2490"/>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67" t="s">
        <v>2949</v>
      </c>
      <c r="B66" s="1725" t="str">
        <f>估价对象房地状况!C22</f>
        <v>估价对象所在区域基础设施达五通。</v>
      </c>
      <c r="C66" s="2759"/>
      <c r="D66" s="1287">
        <f t="shared" si="15"/>
        <v>0</v>
      </c>
      <c r="E66" s="822"/>
      <c r="F66" s="2490"/>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75" t="s">
        <v>2950</v>
      </c>
      <c r="B67" s="2877" t="str">
        <f>估价对象房地状况!C20</f>
        <v>估价对象周边人文环境一般；有御康公园，自然环境一般；综合评价环境状况一般。</v>
      </c>
      <c r="C67" s="2759"/>
      <c r="D67" s="1287">
        <f t="shared" si="15"/>
        <v>0</v>
      </c>
      <c r="E67" s="825"/>
      <c r="F67" s="2490"/>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63" t="s">
        <v>2954</v>
      </c>
      <c r="B68" s="2864">
        <f>1+E70</f>
        <v>1</v>
      </c>
      <c r="C68" s="814"/>
      <c r="D68" s="814"/>
      <c r="E68" s="815"/>
      <c r="F68" s="286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67" t="s">
        <v>2932</v>
      </c>
      <c r="B69" s="1809"/>
      <c r="C69" s="1809" t="s">
        <v>2934</v>
      </c>
      <c r="D69" s="1809" t="s">
        <v>2935</v>
      </c>
      <c r="E69" s="819" t="s">
        <v>2936</v>
      </c>
      <c r="F69" s="2868" t="s">
        <v>2952</v>
      </c>
      <c r="G69" s="1809" t="s">
        <v>754</v>
      </c>
      <c r="H69" s="2869" t="s">
        <v>2938</v>
      </c>
      <c r="I69" s="1809" t="s">
        <v>2939</v>
      </c>
      <c r="J69" s="603" t="s">
        <v>2585</v>
      </c>
      <c r="K69" s="603" t="s">
        <v>2586</v>
      </c>
      <c r="L69" s="603" t="s">
        <v>2587</v>
      </c>
      <c r="M69" s="603" t="s">
        <v>2588</v>
      </c>
      <c r="N69" s="603" t="s">
        <v>2589</v>
      </c>
      <c r="AA69" s="1372"/>
      <c r="AB69" s="1372"/>
      <c r="AC69" s="1372"/>
      <c r="AD69" s="1372"/>
      <c r="AE69" s="1372"/>
      <c r="AF69" s="1372"/>
      <c r="AG69" s="1372"/>
      <c r="AH69" s="1372"/>
      <c r="AI69" s="1372"/>
      <c r="AJ69" s="1372"/>
      <c r="AK69" s="1372"/>
    </row>
    <row r="70" spans="1:37" s="1371" customFormat="1" ht="51">
      <c r="A70" s="2867" t="s">
        <v>2955</v>
      </c>
      <c r="B70" s="2870" t="str">
        <f>估价对象房地状况!C15</f>
        <v>估价对象周边居住用地比例、居住小区规模和社区发展完善程度，综合评价居住社区成熟度一般</v>
      </c>
      <c r="C70" s="2759"/>
      <c r="D70" s="1287">
        <f t="shared" ref="D70:D78" si="20">SUMIF($J$69:$N$69,C70,J70:N70)</f>
        <v>0</v>
      </c>
      <c r="E70" s="821">
        <f>ROUND(SUM(D70:D78),4)</f>
        <v>0</v>
      </c>
      <c r="F70" s="2490"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14.75">
      <c r="A71" s="2867" t="s">
        <v>2941</v>
      </c>
      <c r="B71" s="2871" t="str">
        <f>估价对象房地状况!C18</f>
        <v>估价对象所属项目北侧距南四环路约1公里，西距西五环约2公里，周边1公里以内有470、快速直达107.快速直达112，快速直达119、专63等公共交通线路，停车便捷程度，综合评价交通便捷度较好。</v>
      </c>
      <c r="C71" s="2759"/>
      <c r="D71" s="1287">
        <f t="shared" si="20"/>
        <v>0</v>
      </c>
      <c r="E71" s="826"/>
      <c r="F71" s="2490"/>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67" t="s">
        <v>2942</v>
      </c>
      <c r="B72" s="2871">
        <f>估价对象房地状况!C19</f>
        <v>0</v>
      </c>
      <c r="C72" s="2759"/>
      <c r="D72" s="1287">
        <f t="shared" si="20"/>
        <v>0</v>
      </c>
      <c r="E72" s="826"/>
      <c r="F72" s="2490"/>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67" t="s">
        <v>2956</v>
      </c>
      <c r="B73" s="2871" t="str">
        <f>估价对象房地状况!C24</f>
        <v>城市支路</v>
      </c>
      <c r="C73" s="2759"/>
      <c r="D73" s="1287">
        <f t="shared" si="20"/>
        <v>0</v>
      </c>
      <c r="E73" s="826"/>
      <c r="F73" s="2490"/>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127.5">
      <c r="A74" s="2867" t="s">
        <v>2948</v>
      </c>
      <c r="B74"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59"/>
      <c r="D74" s="1287">
        <f t="shared" si="20"/>
        <v>0</v>
      </c>
      <c r="E74" s="826"/>
      <c r="F74" s="2490"/>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67" t="s">
        <v>2949</v>
      </c>
      <c r="B75" s="1725" t="str">
        <f>估价对象房地状况!C22</f>
        <v>估价对象所在区域基础设施达五通。</v>
      </c>
      <c r="C75" s="2759"/>
      <c r="D75" s="1287">
        <f t="shared" si="20"/>
        <v>0</v>
      </c>
      <c r="E75" s="826"/>
      <c r="F75" s="2490"/>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08" customFormat="1" ht="24">
      <c r="A76" s="2867" t="s">
        <v>2946</v>
      </c>
      <c r="B76" s="2873" t="s">
        <v>2947</v>
      </c>
      <c r="C76" s="2759"/>
      <c r="D76" s="1287">
        <f t="shared" si="20"/>
        <v>0</v>
      </c>
      <c r="E76" s="826"/>
      <c r="F76" s="2490"/>
      <c r="G76" s="1285"/>
      <c r="H76" s="1289" t="str">
        <f t="shared" si="21"/>
        <v>——</v>
      </c>
      <c r="I76" s="820">
        <v>0.05</v>
      </c>
      <c r="J76" s="1286">
        <f t="shared" si="22"/>
        <v>0</v>
      </c>
      <c r="K76" s="1286">
        <f t="shared" si="23"/>
        <v>0</v>
      </c>
      <c r="L76" s="1286">
        <v>0</v>
      </c>
      <c r="M76" s="1286">
        <f t="shared" si="24"/>
        <v>0</v>
      </c>
      <c r="N76" s="1286">
        <f t="shared" si="24"/>
        <v>0</v>
      </c>
      <c r="AA76" s="2878"/>
      <c r="AB76" s="1372"/>
      <c r="AC76" s="1372"/>
      <c r="AD76" s="1372"/>
      <c r="AE76" s="1372"/>
      <c r="AF76" s="1372"/>
      <c r="AG76" s="1372"/>
      <c r="AH76" s="2878"/>
      <c r="AI76" s="2878"/>
      <c r="AJ76" s="2878"/>
      <c r="AK76" s="2878"/>
    </row>
    <row r="77" spans="1:37" ht="51">
      <c r="A77" s="2867" t="s">
        <v>2950</v>
      </c>
      <c r="B77" s="2870" t="str">
        <f>估价对象房地状况!C20</f>
        <v>估价对象周边人文环境一般；有御康公园，自然环境一般；综合评价环境状况一般。</v>
      </c>
      <c r="C77" s="2759"/>
      <c r="D77" s="1287">
        <f t="shared" si="20"/>
        <v>0</v>
      </c>
      <c r="E77" s="826"/>
      <c r="F77" s="2490"/>
      <c r="G77" s="1285"/>
      <c r="H77" s="1289" t="str">
        <f t="shared" si="21"/>
        <v>——</v>
      </c>
      <c r="I77" s="820">
        <v>0.15</v>
      </c>
      <c r="J77" s="1286">
        <f t="shared" si="22"/>
        <v>0</v>
      </c>
      <c r="K77" s="1286">
        <f t="shared" si="23"/>
        <v>0</v>
      </c>
      <c r="L77" s="1286">
        <v>0</v>
      </c>
      <c r="M77" s="1286">
        <f t="shared" si="24"/>
        <v>0</v>
      </c>
      <c r="N77" s="1286">
        <f t="shared" si="24"/>
        <v>0</v>
      </c>
      <c r="Z77" s="2709"/>
      <c r="AA77" s="2785"/>
      <c r="AG77" s="1373"/>
      <c r="AK77" s="2785"/>
    </row>
    <row r="78" spans="1:37" ht="24.75" thickBot="1">
      <c r="A78" s="2875" t="s">
        <v>2957</v>
      </c>
      <c r="B78" s="2879"/>
      <c r="C78" s="2759"/>
      <c r="D78" s="1287">
        <f t="shared" si="20"/>
        <v>0</v>
      </c>
      <c r="E78" s="827"/>
      <c r="F78" s="2490"/>
      <c r="G78" s="1285"/>
      <c r="H78" s="1289" t="str">
        <f t="shared" si="21"/>
        <v>——</v>
      </c>
      <c r="I78" s="824">
        <v>0.04</v>
      </c>
      <c r="J78" s="1286">
        <f t="shared" si="22"/>
        <v>0</v>
      </c>
      <c r="K78" s="1286">
        <f t="shared" si="23"/>
        <v>0</v>
      </c>
      <c r="L78" s="1286">
        <v>0</v>
      </c>
      <c r="M78" s="1286">
        <f t="shared" si="24"/>
        <v>0</v>
      </c>
      <c r="N78" s="1286">
        <f t="shared" si="24"/>
        <v>0</v>
      </c>
      <c r="Z78" s="2709"/>
      <c r="AA78" s="2785"/>
      <c r="AG78" s="1373"/>
      <c r="AK78" s="2785"/>
    </row>
    <row r="79" spans="1:37" ht="15">
      <c r="A79" s="2863" t="s">
        <v>2958</v>
      </c>
      <c r="B79" s="2864">
        <f>1+E81</f>
        <v>1</v>
      </c>
      <c r="C79" s="814"/>
      <c r="D79" s="814"/>
      <c r="E79" s="815"/>
      <c r="F79" s="2866"/>
      <c r="G79" s="6"/>
      <c r="H79" s="6"/>
      <c r="I79" s="6"/>
      <c r="J79" s="7"/>
      <c r="K79" s="7"/>
      <c r="L79" s="7"/>
      <c r="M79" s="7"/>
      <c r="N79" s="7"/>
      <c r="Z79" s="2709"/>
      <c r="AA79" s="2785"/>
      <c r="AG79" s="1373"/>
      <c r="AK79" s="2785"/>
    </row>
    <row r="80" spans="1:37" ht="24.75">
      <c r="A80" s="2867" t="s">
        <v>2932</v>
      </c>
      <c r="B80" s="1809"/>
      <c r="C80" s="1809" t="s">
        <v>2934</v>
      </c>
      <c r="D80" s="1809" t="s">
        <v>2935</v>
      </c>
      <c r="E80" s="819" t="s">
        <v>2936</v>
      </c>
      <c r="F80" s="2868" t="s">
        <v>2952</v>
      </c>
      <c r="G80" s="1809" t="s">
        <v>754</v>
      </c>
      <c r="H80" s="2869" t="s">
        <v>2938</v>
      </c>
      <c r="I80" s="1809" t="s">
        <v>2939</v>
      </c>
      <c r="J80" s="603" t="s">
        <v>2585</v>
      </c>
      <c r="K80" s="603" t="s">
        <v>2586</v>
      </c>
      <c r="L80" s="603" t="s">
        <v>2587</v>
      </c>
      <c r="M80" s="603" t="s">
        <v>2588</v>
      </c>
      <c r="N80" s="603" t="s">
        <v>2589</v>
      </c>
      <c r="Z80" s="2709"/>
      <c r="AA80" s="2785"/>
      <c r="AG80" s="1373"/>
      <c r="AK80" s="2785"/>
    </row>
    <row r="81" spans="1:37" ht="38.25">
      <c r="A81" s="2867" t="s">
        <v>2959</v>
      </c>
      <c r="B81" s="2871" t="str">
        <f>估价对象房地状况!G15</f>
        <v>估价对象位于XX开发区，园区建设成熟度XX，产业集聚程度XX</v>
      </c>
      <c r="C81" s="2759"/>
      <c r="D81" s="1287">
        <f t="shared" ref="D81:D88" si="25">SUMIF($J$80:$N$80,C81,J81:N81)</f>
        <v>0</v>
      </c>
      <c r="E81" s="821">
        <f>ROUND(SUM(D81:D88),4)</f>
        <v>0</v>
      </c>
      <c r="F81" s="2490"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09"/>
      <c r="AA81" s="2785"/>
      <c r="AG81" s="1373"/>
      <c r="AK81" s="2785"/>
    </row>
    <row r="82" spans="1:37" ht="51">
      <c r="A82" s="2867" t="s">
        <v>2941</v>
      </c>
      <c r="B82" s="2871" t="str">
        <f>估价对象房地状况!G16</f>
        <v>估价对象周边道路状况、公共交通通达情况、停车便捷程度，综合评价交通便捷度较好</v>
      </c>
      <c r="C82" s="2759"/>
      <c r="D82" s="1287">
        <f t="shared" si="25"/>
        <v>0</v>
      </c>
      <c r="E82" s="826"/>
      <c r="F82" s="2490"/>
      <c r="G82" s="1285"/>
      <c r="H82" s="1289" t="str">
        <f t="shared" si="26"/>
        <v>——</v>
      </c>
      <c r="I82" s="820">
        <v>0.33</v>
      </c>
      <c r="J82" s="1286">
        <f t="shared" si="27"/>
        <v>0</v>
      </c>
      <c r="K82" s="1286">
        <f t="shared" si="28"/>
        <v>0</v>
      </c>
      <c r="L82" s="1286">
        <v>0</v>
      </c>
      <c r="M82" s="1286">
        <f t="shared" si="29"/>
        <v>0</v>
      </c>
      <c r="N82" s="1286">
        <f t="shared" si="29"/>
        <v>0</v>
      </c>
      <c r="Z82" s="2709"/>
      <c r="AA82" s="2785"/>
      <c r="AG82" s="1373"/>
      <c r="AK82" s="2785"/>
    </row>
    <row r="83" spans="1:37" ht="24">
      <c r="A83" s="2867" t="s">
        <v>2942</v>
      </c>
      <c r="B83" s="2871">
        <f>估价对象房地状况!G17</f>
        <v>0</v>
      </c>
      <c r="C83" s="2759"/>
      <c r="D83" s="1287">
        <f t="shared" si="25"/>
        <v>0</v>
      </c>
      <c r="E83" s="826"/>
      <c r="F83" s="2490"/>
      <c r="G83" s="1285"/>
      <c r="H83" s="1289" t="str">
        <f t="shared" si="26"/>
        <v>——</v>
      </c>
      <c r="I83" s="820">
        <v>0.05</v>
      </c>
      <c r="J83" s="1286">
        <f t="shared" si="27"/>
        <v>0</v>
      </c>
      <c r="K83" s="1286">
        <f t="shared" si="28"/>
        <v>0</v>
      </c>
      <c r="L83" s="1286">
        <v>0</v>
      </c>
      <c r="M83" s="1286">
        <f t="shared" si="29"/>
        <v>0</v>
      </c>
      <c r="N83" s="1286">
        <f t="shared" si="29"/>
        <v>0</v>
      </c>
      <c r="Z83" s="2709"/>
      <c r="AA83" s="2785"/>
      <c r="AG83" s="1373"/>
      <c r="AK83" s="2785"/>
    </row>
    <row r="84" spans="1:37" ht="14.25">
      <c r="A84" s="2867" t="s">
        <v>2956</v>
      </c>
      <c r="B84" s="2871">
        <f>估价对象房地状况!G22</f>
        <v>0</v>
      </c>
      <c r="C84" s="2759"/>
      <c r="D84" s="1287">
        <f t="shared" si="25"/>
        <v>0</v>
      </c>
      <c r="E84" s="826"/>
      <c r="F84" s="2490"/>
      <c r="G84" s="1285"/>
      <c r="H84" s="1289" t="str">
        <f t="shared" si="26"/>
        <v>——</v>
      </c>
      <c r="I84" s="820">
        <v>0.04</v>
      </c>
      <c r="J84" s="1286">
        <f t="shared" si="27"/>
        <v>0</v>
      </c>
      <c r="K84" s="1286">
        <f t="shared" si="28"/>
        <v>0</v>
      </c>
      <c r="L84" s="1286">
        <v>0</v>
      </c>
      <c r="M84" s="1286">
        <f t="shared" si="29"/>
        <v>0</v>
      </c>
      <c r="N84" s="1286">
        <f t="shared" si="29"/>
        <v>0</v>
      </c>
      <c r="Z84" s="2709"/>
      <c r="AA84" s="2785"/>
      <c r="AG84" s="1373"/>
      <c r="AK84" s="2785"/>
    </row>
    <row r="85" spans="1:37" ht="25.5">
      <c r="A85" s="2867" t="s">
        <v>2948</v>
      </c>
      <c r="B85" s="1725" t="str">
        <f>估价对象房地状况!G19</f>
        <v>估价对象所在区域公共配套设施齐备情况</v>
      </c>
      <c r="C85" s="2759"/>
      <c r="D85" s="1287">
        <f t="shared" si="25"/>
        <v>0</v>
      </c>
      <c r="E85" s="826"/>
      <c r="F85" s="2490"/>
      <c r="G85" s="1285"/>
      <c r="H85" s="1289" t="str">
        <f t="shared" si="26"/>
        <v>——</v>
      </c>
      <c r="I85" s="820">
        <v>0.06</v>
      </c>
      <c r="J85" s="1286">
        <f t="shared" si="27"/>
        <v>0</v>
      </c>
      <c r="K85" s="1286">
        <f t="shared" si="28"/>
        <v>0</v>
      </c>
      <c r="L85" s="1286">
        <v>0</v>
      </c>
      <c r="M85" s="1286">
        <f t="shared" si="29"/>
        <v>0</v>
      </c>
      <c r="N85" s="1286">
        <f t="shared" si="29"/>
        <v>0</v>
      </c>
      <c r="Z85" s="2709"/>
      <c r="AA85" s="2785"/>
      <c r="AG85" s="1373"/>
      <c r="AK85" s="2785"/>
    </row>
    <row r="86" spans="1:37" ht="25.5">
      <c r="A86" s="2867" t="s">
        <v>2949</v>
      </c>
      <c r="B86" s="1725" t="str">
        <f>估价对象房地状况!G20</f>
        <v>估价对象所在区域基础设施水平</v>
      </c>
      <c r="C86" s="2759"/>
      <c r="D86" s="1287">
        <f t="shared" si="25"/>
        <v>0</v>
      </c>
      <c r="E86" s="826"/>
      <c r="F86" s="2490"/>
      <c r="G86" s="1285"/>
      <c r="H86" s="1289" t="str">
        <f t="shared" si="26"/>
        <v>——</v>
      </c>
      <c r="I86" s="820">
        <v>0.15</v>
      </c>
      <c r="J86" s="1286">
        <f t="shared" si="27"/>
        <v>0</v>
      </c>
      <c r="K86" s="1286">
        <f t="shared" si="28"/>
        <v>0</v>
      </c>
      <c r="L86" s="1286">
        <v>0</v>
      </c>
      <c r="M86" s="1286">
        <f t="shared" si="29"/>
        <v>0</v>
      </c>
      <c r="N86" s="1286">
        <f t="shared" si="29"/>
        <v>0</v>
      </c>
      <c r="Z86" s="2709"/>
      <c r="AA86" s="2785"/>
      <c r="AG86" s="1373"/>
      <c r="AK86" s="2785"/>
    </row>
    <row r="87" spans="1:37" ht="24">
      <c r="A87" s="2867" t="s">
        <v>2946</v>
      </c>
      <c r="B87" s="2873" t="s">
        <v>2960</v>
      </c>
      <c r="C87" s="2759"/>
      <c r="D87" s="1287">
        <f t="shared" si="25"/>
        <v>0</v>
      </c>
      <c r="E87" s="826"/>
      <c r="F87" s="2490"/>
      <c r="G87" s="1285"/>
      <c r="H87" s="1289" t="str">
        <f t="shared" si="26"/>
        <v>——</v>
      </c>
      <c r="I87" s="820">
        <v>0.05</v>
      </c>
      <c r="J87" s="1286">
        <f t="shared" si="27"/>
        <v>0</v>
      </c>
      <c r="K87" s="1286">
        <f t="shared" si="28"/>
        <v>0</v>
      </c>
      <c r="L87" s="1286">
        <v>0</v>
      </c>
      <c r="M87" s="1286">
        <f t="shared" si="29"/>
        <v>0</v>
      </c>
      <c r="N87" s="1286">
        <f t="shared" si="29"/>
        <v>0</v>
      </c>
      <c r="Z87" s="2709"/>
      <c r="AA87" s="2785"/>
      <c r="AG87" s="1373"/>
      <c r="AK87" s="2785"/>
    </row>
    <row r="88" spans="1:37" ht="39" thickBot="1">
      <c r="A88" s="2875" t="s">
        <v>2961</v>
      </c>
      <c r="B88" s="2880" t="str">
        <f>估价对象房地状况!G18</f>
        <v>该园区内是否有污染型企业，绿化情况，卫生条件，整体环境状况判断</v>
      </c>
      <c r="C88" s="2759"/>
      <c r="D88" s="1287">
        <f t="shared" si="25"/>
        <v>0</v>
      </c>
      <c r="E88" s="827"/>
      <c r="F88" s="2490"/>
      <c r="G88" s="1285"/>
      <c r="H88" s="1289" t="str">
        <f t="shared" si="26"/>
        <v>——</v>
      </c>
      <c r="I88" s="824">
        <v>0.06</v>
      </c>
      <c r="J88" s="1286">
        <f t="shared" si="27"/>
        <v>0</v>
      </c>
      <c r="K88" s="1286">
        <f t="shared" si="28"/>
        <v>0</v>
      </c>
      <c r="L88" s="1286">
        <v>0</v>
      </c>
      <c r="M88" s="1286">
        <f t="shared" si="29"/>
        <v>0</v>
      </c>
      <c r="N88" s="1286">
        <f t="shared" si="29"/>
        <v>0</v>
      </c>
      <c r="Z88" s="2709"/>
      <c r="AA88" s="2785"/>
      <c r="AG88" s="1373"/>
      <c r="AK88" s="2785"/>
    </row>
    <row r="90" spans="1:37">
      <c r="A90" s="3271" t="s">
        <v>2962</v>
      </c>
      <c r="B90" s="3271"/>
      <c r="C90" s="3271"/>
      <c r="D90" s="3271"/>
      <c r="E90" s="3271"/>
      <c r="F90" s="3271"/>
      <c r="G90" s="3271"/>
      <c r="H90" s="3271"/>
      <c r="I90" s="3271"/>
      <c r="J90" s="3271"/>
      <c r="K90" s="2881"/>
      <c r="L90" s="2881"/>
      <c r="M90" s="2881"/>
      <c r="N90" s="2881"/>
    </row>
    <row r="91" spans="1:37">
      <c r="A91" s="3273" t="s">
        <v>2963</v>
      </c>
      <c r="B91" s="3273" t="s">
        <v>2964</v>
      </c>
      <c r="C91" s="2835" t="s">
        <v>2965</v>
      </c>
      <c r="D91" s="2836"/>
      <c r="E91" s="2836"/>
      <c r="F91" s="2836"/>
      <c r="G91" s="2836"/>
      <c r="H91" s="2836"/>
      <c r="I91" s="2836"/>
      <c r="J91" s="2882"/>
      <c r="K91" s="2883"/>
      <c r="L91" s="2883"/>
      <c r="M91" s="2883"/>
      <c r="N91" s="2883"/>
    </row>
    <row r="92" spans="1:37">
      <c r="A92" s="3273"/>
      <c r="B92" s="3273"/>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74"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5"/>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5"/>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5"/>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5"/>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5"/>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5"/>
      <c r="B99" s="2884" t="s">
        <v>2845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6"/>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4" t="s">
        <v>2967</v>
      </c>
      <c r="B101" s="2888" t="s">
        <v>2968</v>
      </c>
      <c r="C101" s="2889">
        <f>$G$3</f>
        <v>1.81</v>
      </c>
      <c r="D101" s="2889">
        <f t="shared" ref="D101:N101" si="31">$G$3</f>
        <v>1.81</v>
      </c>
      <c r="E101" s="2889">
        <f t="shared" si="31"/>
        <v>1.81</v>
      </c>
      <c r="F101" s="2889">
        <f t="shared" si="31"/>
        <v>1.81</v>
      </c>
      <c r="G101" s="2889">
        <f t="shared" si="31"/>
        <v>1.81</v>
      </c>
      <c r="H101" s="2889">
        <f t="shared" si="31"/>
        <v>1.81</v>
      </c>
      <c r="I101" s="2889">
        <f t="shared" si="31"/>
        <v>1.81</v>
      </c>
      <c r="J101" s="2889">
        <f t="shared" si="31"/>
        <v>1.81</v>
      </c>
      <c r="K101" s="2889">
        <f t="shared" si="31"/>
        <v>1.81</v>
      </c>
      <c r="L101" s="2889">
        <f t="shared" si="31"/>
        <v>1.81</v>
      </c>
      <c r="M101" s="2889">
        <f t="shared" si="31"/>
        <v>1.81</v>
      </c>
      <c r="N101" s="2889">
        <f t="shared" si="31"/>
        <v>1.81</v>
      </c>
    </row>
    <row r="102" spans="1:14">
      <c r="A102" s="3275"/>
      <c r="B102" s="2884">
        <v>1</v>
      </c>
      <c r="C102" s="2885">
        <f>1.9362/C101</f>
        <v>1.0697237569060773</v>
      </c>
      <c r="D102" s="2885">
        <f>1.9362/D101</f>
        <v>1.0697237569060773</v>
      </c>
      <c r="E102" s="2885">
        <f>1.8629/E101</f>
        <v>1.0292265193370165</v>
      </c>
      <c r="F102" s="2885">
        <f>1.8629/F101</f>
        <v>1.0292265193370165</v>
      </c>
      <c r="G102" s="2885">
        <f>1.8629/G101</f>
        <v>1.0292265193370165</v>
      </c>
      <c r="H102" s="2885">
        <f>1.8629/H101</f>
        <v>1.0292265193370165</v>
      </c>
      <c r="I102" s="2885">
        <f>1.8629/I101</f>
        <v>1.0292265193370165</v>
      </c>
      <c r="J102" s="2885">
        <f>1.942/J101</f>
        <v>1.0729281767955801</v>
      </c>
      <c r="K102" s="2885">
        <f>1.942/K101</f>
        <v>1.0729281767955801</v>
      </c>
      <c r="L102" s="2885">
        <f>1.942/L101</f>
        <v>1.0729281767955801</v>
      </c>
      <c r="M102" s="2885">
        <f>1.942/M101</f>
        <v>1.0729281767955801</v>
      </c>
      <c r="N102" s="2885">
        <f>1.942/N101</f>
        <v>1.0729281767955801</v>
      </c>
    </row>
    <row r="103" spans="1:14">
      <c r="A103" s="3275"/>
      <c r="B103" s="2884">
        <v>2</v>
      </c>
      <c r="C103" s="2885">
        <f>1.4198/C101</f>
        <v>0.78441988950276242</v>
      </c>
      <c r="D103" s="2885">
        <f>1.4198/D101</f>
        <v>0.78441988950276242</v>
      </c>
      <c r="E103" s="2885">
        <f>1.3372/E101</f>
        <v>0.7387845303867403</v>
      </c>
      <c r="F103" s="2885">
        <f>1.3372/F101</f>
        <v>0.7387845303867403</v>
      </c>
      <c r="G103" s="2885">
        <f>1.3372/G101</f>
        <v>0.7387845303867403</v>
      </c>
      <c r="H103" s="2885">
        <f>1.3372/H101</f>
        <v>0.7387845303867403</v>
      </c>
      <c r="I103" s="2885">
        <f>1.3372/I101</f>
        <v>0.7387845303867403</v>
      </c>
      <c r="J103" s="2885">
        <f>1.2799/J101</f>
        <v>0.70712707182320444</v>
      </c>
      <c r="K103" s="2885">
        <f>1.2799/K101</f>
        <v>0.70712707182320444</v>
      </c>
      <c r="L103" s="2885">
        <f>1.2799/L101</f>
        <v>0.70712707182320444</v>
      </c>
      <c r="M103" s="2885">
        <f>1.2799/M101</f>
        <v>0.70712707182320444</v>
      </c>
      <c r="N103" s="2885">
        <f>1.2799/N101</f>
        <v>0.70712707182320444</v>
      </c>
    </row>
    <row r="104" spans="1:14">
      <c r="A104" s="3275"/>
      <c r="B104" s="2884">
        <v>3</v>
      </c>
      <c r="C104" s="2885">
        <f>1.1594/C101</f>
        <v>0.64055248618784533</v>
      </c>
      <c r="D104" s="2885">
        <f>1.1594/D101</f>
        <v>0.64055248618784533</v>
      </c>
      <c r="E104" s="2885">
        <f>1.0788/E101</f>
        <v>0.59602209944751383</v>
      </c>
      <c r="F104" s="2885">
        <f>1.0788/F101</f>
        <v>0.59602209944751383</v>
      </c>
      <c r="G104" s="2885">
        <f>1.0788/G101</f>
        <v>0.59602209944751383</v>
      </c>
      <c r="H104" s="2885">
        <f>1.0788/H101</f>
        <v>0.59602209944751383</v>
      </c>
      <c r="I104" s="2885">
        <f>1.0788/I101</f>
        <v>0.59602209944751383</v>
      </c>
      <c r="J104" s="2885">
        <f>1.0072/J101</f>
        <v>0.55646408839779005</v>
      </c>
      <c r="K104" s="2885">
        <f>1.0072/K101</f>
        <v>0.55646408839779005</v>
      </c>
      <c r="L104" s="2885">
        <f>1.0072/L101</f>
        <v>0.55646408839779005</v>
      </c>
      <c r="M104" s="2885">
        <f>1.0072/M101</f>
        <v>0.55646408839779005</v>
      </c>
      <c r="N104" s="2885">
        <f>1.0072/N101</f>
        <v>0.55646408839779005</v>
      </c>
    </row>
    <row r="105" spans="1:14">
      <c r="A105" s="3275"/>
      <c r="B105" s="2884">
        <v>4</v>
      </c>
      <c r="C105" s="2885">
        <f>0.9622/C101</f>
        <v>0.53160220994475138</v>
      </c>
      <c r="D105" s="2885">
        <f>0.9622/D101</f>
        <v>0.53160220994475138</v>
      </c>
      <c r="E105" s="2885">
        <f>0.8656/E101</f>
        <v>0.47823204419889503</v>
      </c>
      <c r="F105" s="2885">
        <f>0.8656/F101</f>
        <v>0.47823204419889503</v>
      </c>
      <c r="G105" s="2885">
        <f>0.8656/G101</f>
        <v>0.47823204419889503</v>
      </c>
      <c r="H105" s="2885">
        <f>0.8656/H101</f>
        <v>0.47823204419889503</v>
      </c>
      <c r="I105" s="2885">
        <f>0.8656/I101</f>
        <v>0.47823204419889503</v>
      </c>
      <c r="J105" s="2885">
        <f>0.7525/J101</f>
        <v>0.41574585635359113</v>
      </c>
      <c r="K105" s="2885">
        <f>0.7525/K101</f>
        <v>0.41574585635359113</v>
      </c>
      <c r="L105" s="2885">
        <f>0.7525/L101</f>
        <v>0.41574585635359113</v>
      </c>
      <c r="M105" s="2885">
        <f>0.7525/M101</f>
        <v>0.41574585635359113</v>
      </c>
      <c r="N105" s="2885">
        <f>0.7525/N101</f>
        <v>0.41574585635359113</v>
      </c>
    </row>
    <row r="106" spans="1:14">
      <c r="A106" s="3275"/>
      <c r="B106" s="2884">
        <v>5</v>
      </c>
      <c r="C106" s="2885">
        <f>0.8417/C101</f>
        <v>0.46502762430939226</v>
      </c>
      <c r="D106" s="2885">
        <f>0.8417/D101</f>
        <v>0.46502762430939226</v>
      </c>
      <c r="E106" s="2885">
        <f>0.7371/E101</f>
        <v>0.40723756906077346</v>
      </c>
      <c r="F106" s="2885">
        <f>0.7371/F101</f>
        <v>0.40723756906077346</v>
      </c>
      <c r="G106" s="2885">
        <f>0.7371/G101</f>
        <v>0.40723756906077346</v>
      </c>
      <c r="H106" s="2885">
        <f>0.7371/H101</f>
        <v>0.40723756906077346</v>
      </c>
      <c r="I106" s="2885">
        <f>0.7371/I101</f>
        <v>0.40723756906077346</v>
      </c>
      <c r="J106" s="2885">
        <f>0.5659/J101</f>
        <v>0.31265193370165745</v>
      </c>
      <c r="K106" s="2885">
        <f>0.5659/K101</f>
        <v>0.31265193370165745</v>
      </c>
      <c r="L106" s="2885">
        <f>0.5659/L101</f>
        <v>0.31265193370165745</v>
      </c>
      <c r="M106" s="2885">
        <f>0.5659/M101</f>
        <v>0.31265193370165745</v>
      </c>
      <c r="N106" s="2885">
        <f>0.5659/N101</f>
        <v>0.31265193370165745</v>
      </c>
    </row>
    <row r="107" spans="1:14">
      <c r="A107" s="3275"/>
      <c r="B107" s="2884">
        <v>6</v>
      </c>
      <c r="C107" s="2885">
        <f>0.7608/C101</f>
        <v>0.42033149171270717</v>
      </c>
      <c r="D107" s="2885">
        <f>0.7608/D101</f>
        <v>0.42033149171270717</v>
      </c>
      <c r="E107" s="2885">
        <f>0.6482/E101</f>
        <v>0.35812154696132598</v>
      </c>
      <c r="F107" s="2885">
        <f>0.6482/F101</f>
        <v>0.35812154696132598</v>
      </c>
      <c r="G107" s="2885">
        <f>0.6482/G101</f>
        <v>0.35812154696132598</v>
      </c>
      <c r="H107" s="2885">
        <f>0.6482/H101</f>
        <v>0.35812154696132598</v>
      </c>
      <c r="I107" s="2885">
        <f>0.6482/I101</f>
        <v>0.35812154696132598</v>
      </c>
      <c r="J107" s="2885">
        <f>0.4525/J101</f>
        <v>0.25</v>
      </c>
      <c r="K107" s="2885">
        <f>0.4525/K101</f>
        <v>0.25</v>
      </c>
      <c r="L107" s="2885">
        <f>0.4525/L101</f>
        <v>0.25</v>
      </c>
      <c r="M107" s="2885">
        <f>0.4525/M101</f>
        <v>0.25</v>
      </c>
      <c r="N107" s="2885">
        <f>0.4525/N101</f>
        <v>0.25</v>
      </c>
    </row>
    <row r="108" spans="1:14">
      <c r="A108" s="3275"/>
      <c r="B108" s="3100" t="s">
        <v>2969</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6"/>
      <c r="B109" s="3101"/>
      <c r="C109" s="2887">
        <f>(-0.163*(C108^2)-0.59*C108+7617)*(10^(-4))/C101</f>
        <v>0.42082872928176795</v>
      </c>
      <c r="D109" s="2887">
        <f>(-0.163*(D108^2)-0.59*D108+7617)*(10^(-4))/D101</f>
        <v>0.42082872928176795</v>
      </c>
      <c r="E109" s="2887">
        <f>(-0.161*(E108^2)-7.509*E108+6533)*(10^(-4))/E101</f>
        <v>0.36093922651933702</v>
      </c>
      <c r="F109" s="2887">
        <f>(-0.161*(F108^2)-7.509*F108+6533)*(10^(-4))/F101</f>
        <v>0.36093922651933702</v>
      </c>
      <c r="G109" s="2887">
        <f>(-0.161*(G108^2)-7.509*G108+6533)*(10^(-4))/G101</f>
        <v>0.36093922651933702</v>
      </c>
      <c r="H109" s="2887">
        <f>(-0.161*(H108^2)-7.509*H108+6533)*(10^(-4))/H101</f>
        <v>0.36093922651933702</v>
      </c>
      <c r="I109" s="2887">
        <f>(-0.161*(I108^2)-7.509*I108+6533)*(10^(-4))/I101</f>
        <v>0.36093922651933702</v>
      </c>
      <c r="J109" s="2887">
        <f>(-0.214*(J108^2)-21.991*J108+4665)*(10^(-4))/J101</f>
        <v>0.25773480662983428</v>
      </c>
      <c r="K109" s="2887">
        <f>(-0.214*(K108^2)-21.991*K108+4665)*(10^(-4))/K101</f>
        <v>0.25773480662983428</v>
      </c>
      <c r="L109" s="2887">
        <f>(-0.214*(L108^2)-21.991*L108+4665)*(10^(-4))/L101</f>
        <v>0.25773480662983428</v>
      </c>
      <c r="M109" s="2887">
        <f>(-0.214*(M108^2)-21.991*M108+4665)*(10^(-4))/M101</f>
        <v>0.25773480662983428</v>
      </c>
      <c r="N109" s="2887">
        <f>(-0.214*(N108^2)-21.991*N108+4665)*(10^(-4))/N101</f>
        <v>0.25773480662983428</v>
      </c>
    </row>
    <row r="110" spans="1:14">
      <c r="A110" s="3272" t="s">
        <v>2970</v>
      </c>
      <c r="B110" s="3272"/>
      <c r="C110" s="3272"/>
      <c r="D110" s="3272"/>
      <c r="E110" s="3272"/>
      <c r="F110" s="3272"/>
      <c r="G110" s="3272"/>
      <c r="H110" s="3272"/>
      <c r="I110" s="3272"/>
      <c r="J110" s="3272"/>
      <c r="K110" s="2890"/>
      <c r="L110" s="2890"/>
      <c r="M110" s="2890"/>
      <c r="N110" s="2890"/>
    </row>
    <row r="112" spans="1:14" ht="13.5" thickBot="1"/>
    <row r="113" spans="1:13" ht="25.5" thickBot="1">
      <c r="A113" s="903" t="s">
        <v>2971</v>
      </c>
      <c r="B113" s="1288">
        <f>G3</f>
        <v>1.81</v>
      </c>
      <c r="C113" s="904" t="s">
        <v>2972</v>
      </c>
      <c r="D113" s="905">
        <f>SUMPRODUCT((A115:A118=F113)*(B114:M114=H113)*B115:M118)</f>
        <v>0</v>
      </c>
      <c r="E113" s="2713" t="s">
        <v>2802</v>
      </c>
      <c r="F113" s="2892">
        <f>E2</f>
        <v>0</v>
      </c>
      <c r="G113" s="2713" t="s">
        <v>2803</v>
      </c>
      <c r="H113" s="2892">
        <f>G2</f>
        <v>0</v>
      </c>
      <c r="I113" s="2713"/>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2867</v>
      </c>
      <c r="B115" s="910">
        <f>ROUND(0.9335-0.0094*B113,4)</f>
        <v>0.91649999999999998</v>
      </c>
      <c r="C115" s="910">
        <f>B115</f>
        <v>0.91649999999999998</v>
      </c>
      <c r="D115" s="910">
        <f>ROUND(0.8331-0.0109*B113,4)</f>
        <v>0.81340000000000001</v>
      </c>
      <c r="E115" s="910">
        <f>D115</f>
        <v>0.81340000000000001</v>
      </c>
      <c r="F115" s="910">
        <f>E115</f>
        <v>0.81340000000000001</v>
      </c>
      <c r="G115" s="910">
        <f>F115</f>
        <v>0.81340000000000001</v>
      </c>
      <c r="H115" s="910">
        <f>G115</f>
        <v>0.81340000000000001</v>
      </c>
      <c r="I115" s="910">
        <f>ROUND(0.689-0.0155*B113,4)</f>
        <v>0.66090000000000004</v>
      </c>
      <c r="J115" s="910">
        <f t="shared" ref="J115:M118" si="33">I115</f>
        <v>0.66090000000000004</v>
      </c>
      <c r="K115" s="910">
        <f t="shared" si="33"/>
        <v>0.66090000000000004</v>
      </c>
      <c r="L115" s="910">
        <f t="shared" si="33"/>
        <v>0.66090000000000004</v>
      </c>
      <c r="M115" s="911">
        <f t="shared" si="33"/>
        <v>0.66090000000000004</v>
      </c>
    </row>
    <row r="116" spans="1:13">
      <c r="A116" s="909" t="s">
        <v>2868</v>
      </c>
      <c r="B116" s="910">
        <f>ROUND(0.949-0.012*B113,4)</f>
        <v>0.92730000000000001</v>
      </c>
      <c r="C116" s="910">
        <f>B116</f>
        <v>0.92730000000000001</v>
      </c>
      <c r="D116" s="910">
        <f>ROUND(0.8567-0.013*B113,4)</f>
        <v>0.83320000000000005</v>
      </c>
      <c r="E116" s="910">
        <f t="shared" ref="E116:H117" si="34">D116</f>
        <v>0.83320000000000005</v>
      </c>
      <c r="F116" s="910">
        <f t="shared" si="34"/>
        <v>0.83320000000000005</v>
      </c>
      <c r="G116" s="910">
        <f t="shared" si="34"/>
        <v>0.83320000000000005</v>
      </c>
      <c r="H116" s="910">
        <f t="shared" si="34"/>
        <v>0.83320000000000005</v>
      </c>
      <c r="I116" s="910">
        <f>ROUND(0.7694-0.014*B113,4)</f>
        <v>0.74409999999999998</v>
      </c>
      <c r="J116" s="910">
        <f t="shared" si="33"/>
        <v>0.74409999999999998</v>
      </c>
      <c r="K116" s="910">
        <f t="shared" si="33"/>
        <v>0.74409999999999998</v>
      </c>
      <c r="L116" s="910">
        <f t="shared" si="33"/>
        <v>0.74409999999999998</v>
      </c>
      <c r="M116" s="911">
        <f t="shared" si="33"/>
        <v>0.74409999999999998</v>
      </c>
    </row>
    <row r="117" spans="1:13">
      <c r="A117" s="909" t="s">
        <v>2869</v>
      </c>
      <c r="B117" s="910">
        <f>ROUND(0.8808-0.006*B113,4)</f>
        <v>0.86990000000000001</v>
      </c>
      <c r="C117" s="910">
        <f>B117</f>
        <v>0.86990000000000001</v>
      </c>
      <c r="D117" s="910">
        <f>ROUND(0.8748-0.008*B113,4)</f>
        <v>0.86029999999999995</v>
      </c>
      <c r="E117" s="910">
        <f t="shared" si="34"/>
        <v>0.86029999999999995</v>
      </c>
      <c r="F117" s="910">
        <f t="shared" si="34"/>
        <v>0.86029999999999995</v>
      </c>
      <c r="G117" s="910">
        <f t="shared" si="34"/>
        <v>0.86029999999999995</v>
      </c>
      <c r="H117" s="910">
        <f t="shared" si="34"/>
        <v>0.86029999999999995</v>
      </c>
      <c r="I117" s="910">
        <f>ROUND(0.7412-0.0095*B113,4)</f>
        <v>0.72399999999999998</v>
      </c>
      <c r="J117" s="910">
        <f t="shared" si="33"/>
        <v>0.72399999999999998</v>
      </c>
      <c r="K117" s="910">
        <f t="shared" si="33"/>
        <v>0.72399999999999998</v>
      </c>
      <c r="L117" s="910">
        <f t="shared" si="33"/>
        <v>0.72399999999999998</v>
      </c>
      <c r="M117" s="911">
        <f t="shared" si="33"/>
        <v>0.72399999999999998</v>
      </c>
    </row>
    <row r="118" spans="1:13" ht="13.5" thickBot="1">
      <c r="A118" s="714" t="s">
        <v>2870</v>
      </c>
      <c r="B118" s="912">
        <f>ROUND(0.7275-0.01*B113,4)</f>
        <v>0.70940000000000003</v>
      </c>
      <c r="C118" s="912">
        <f>B118</f>
        <v>0.70940000000000003</v>
      </c>
      <c r="D118" s="912">
        <f>ROUND(0.7043-0.012*B113,4)</f>
        <v>0.68259999999999998</v>
      </c>
      <c r="E118" s="912">
        <f>D118</f>
        <v>0.68259999999999998</v>
      </c>
      <c r="F118" s="912">
        <f>E118</f>
        <v>0.68259999999999998</v>
      </c>
      <c r="G118" s="912">
        <f>ROUND(0.6299-0.0122*B113,4)</f>
        <v>0.60780000000000001</v>
      </c>
      <c r="H118" s="912">
        <f>G118</f>
        <v>0.60780000000000001</v>
      </c>
      <c r="I118" s="912">
        <f>ROUND(0.5667-0.0136*B113,4)</f>
        <v>0.54210000000000003</v>
      </c>
      <c r="J118" s="912">
        <f t="shared" si="33"/>
        <v>0.54210000000000003</v>
      </c>
      <c r="K118" s="912">
        <f t="shared" si="33"/>
        <v>0.54210000000000003</v>
      </c>
      <c r="L118" s="912">
        <f t="shared" si="33"/>
        <v>0.54210000000000003</v>
      </c>
      <c r="M118" s="913">
        <f t="shared" si="33"/>
        <v>0.54210000000000003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0" t="s">
        <v>2993</v>
      </c>
    </row>
    <row r="2" spans="1:5" ht="15.75">
      <c r="A2" s="2899" t="s">
        <v>2985</v>
      </c>
      <c r="B2" s="2900" t="e">
        <f ca="1">SUMIF(B6:B13,"&lt;&gt;#ref!",B6:B13)</f>
        <v>#DIV/0!</v>
      </c>
      <c r="C2" s="2899" t="s">
        <v>2986</v>
      </c>
      <c r="D2" s="2899" t="s">
        <v>2987</v>
      </c>
      <c r="E2" s="2900">
        <f ca="1">SUMIF(E6:E13,"&lt;&gt;#ref!",E6:E13)</f>
        <v>0</v>
      </c>
    </row>
    <row r="3" spans="1:5" ht="15.75">
      <c r="A3" s="2899" t="s">
        <v>2988</v>
      </c>
      <c r="B3" s="2900" t="e">
        <f ca="1">ROUND(B2*10000/E2,0)</f>
        <v>#DIV/0!</v>
      </c>
      <c r="C3" s="2899" t="s">
        <v>2994</v>
      </c>
      <c r="D3" s="2901"/>
      <c r="E3" s="2901"/>
    </row>
    <row r="4" spans="1:5" ht="15.75">
      <c r="A4" s="2902"/>
      <c r="B4" s="2901"/>
      <c r="C4" s="2901"/>
      <c r="D4" s="2901"/>
      <c r="E4" s="2901"/>
    </row>
    <row r="5" spans="1:5" ht="28.5">
      <c r="A5" s="2903" t="s">
        <v>2989</v>
      </c>
      <c r="B5" s="2899" t="s">
        <v>2990</v>
      </c>
      <c r="C5" s="2900"/>
      <c r="D5" s="2901"/>
      <c r="E5" s="2899" t="s">
        <v>2991</v>
      </c>
    </row>
    <row r="6" spans="1:5" ht="15.75">
      <c r="A6" s="2904" t="s">
        <v>2992</v>
      </c>
      <c r="B6" s="2900" t="e">
        <f ca="1">SUMIF(INDIRECT("'"&amp;A6&amp;"'"&amp;"!A:A"),"总价",INDIRECT("'"&amp;A6&amp;"'"&amp;"!B:B"))</f>
        <v>#DIV/0!</v>
      </c>
      <c r="C6" s="2899" t="s">
        <v>2986</v>
      </c>
      <c r="D6" s="2901"/>
      <c r="E6" s="2564">
        <f ca="1">SUMIF(INDIRECT("'"&amp;A6&amp;"'"&amp;"!C:C"),"建筑面积",INDIRECT("'"&amp;A6&amp;"'"&amp;"!D:D"))</f>
        <v>0</v>
      </c>
    </row>
    <row r="7" spans="1:5" ht="15.75">
      <c r="A7" s="2904"/>
      <c r="B7" s="2900" t="e">
        <f ca="1">SUMIF(INDIRECT("'"&amp;A7&amp;"'"&amp;"!A:A"),"总价",INDIRECT("'"&amp;A7&amp;"'"&amp;"!B:B"))</f>
        <v>#REF!</v>
      </c>
      <c r="C7" s="2899" t="s">
        <v>2986</v>
      </c>
      <c r="D7" s="2901"/>
      <c r="E7" s="2564" t="e">
        <f t="shared" ref="E7:E13" ca="1" si="0">SUMIF(INDIRECT("'"&amp;A7&amp;"'"&amp;"!C:C"),"建筑面积",INDIRECT("'"&amp;A7&amp;"'"&amp;"!D:D"))</f>
        <v>#REF!</v>
      </c>
    </row>
    <row r="8" spans="1:5" ht="15.75">
      <c r="A8" s="2904"/>
      <c r="B8" s="2900" t="e">
        <f t="shared" ref="B8:B13" ca="1" si="1">SUMIF(INDIRECT("'"&amp;A8&amp;"'"&amp;"!A:A"),"总价",INDIRECT("'"&amp;A8&amp;"'"&amp;"!B:B"))</f>
        <v>#REF!</v>
      </c>
      <c r="C8" s="2899" t="s">
        <v>2986</v>
      </c>
      <c r="D8" s="2901"/>
      <c r="E8" s="2564" t="e">
        <f t="shared" ca="1" si="0"/>
        <v>#REF!</v>
      </c>
    </row>
    <row r="9" spans="1:5" ht="15.75">
      <c r="A9" s="2904"/>
      <c r="B9" s="2900" t="e">
        <f t="shared" ca="1" si="1"/>
        <v>#REF!</v>
      </c>
      <c r="C9" s="2899" t="s">
        <v>2986</v>
      </c>
      <c r="D9" s="2901"/>
      <c r="E9" s="2564" t="e">
        <f t="shared" ca="1" si="0"/>
        <v>#REF!</v>
      </c>
    </row>
    <row r="10" spans="1:5" ht="15.75">
      <c r="A10" s="2904"/>
      <c r="B10" s="2900" t="e">
        <f t="shared" ca="1" si="1"/>
        <v>#REF!</v>
      </c>
      <c r="C10" s="2899" t="s">
        <v>2986</v>
      </c>
      <c r="D10" s="2901"/>
      <c r="E10" s="2564" t="e">
        <f t="shared" ca="1" si="0"/>
        <v>#REF!</v>
      </c>
    </row>
    <row r="11" spans="1:5" ht="15.75">
      <c r="A11" s="2904"/>
      <c r="B11" s="2900" t="e">
        <f t="shared" ca="1" si="1"/>
        <v>#REF!</v>
      </c>
      <c r="C11" s="2899" t="s">
        <v>2986</v>
      </c>
      <c r="D11" s="2901"/>
      <c r="E11" s="2564" t="e">
        <f t="shared" ca="1" si="0"/>
        <v>#REF!</v>
      </c>
    </row>
    <row r="12" spans="1:5" ht="15.75">
      <c r="A12" s="2904"/>
      <c r="B12" s="2900" t="e">
        <f t="shared" ca="1" si="1"/>
        <v>#REF!</v>
      </c>
      <c r="C12" s="2899" t="s">
        <v>2986</v>
      </c>
      <c r="D12" s="2901"/>
      <c r="E12" s="2564" t="e">
        <f t="shared" ca="1" si="0"/>
        <v>#REF!</v>
      </c>
    </row>
    <row r="13" spans="1:5" ht="15.75">
      <c r="A13" s="2904"/>
      <c r="B13" s="2900" t="e">
        <f t="shared" ca="1" si="1"/>
        <v>#REF!</v>
      </c>
      <c r="C13" s="2899" t="s">
        <v>2986</v>
      </c>
      <c r="D13" s="2901"/>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 sqref="F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1150</v>
      </c>
      <c r="C1" s="3295"/>
      <c r="D1" s="3295"/>
      <c r="E1" s="3295"/>
      <c r="F1" s="3295"/>
      <c r="G1" s="3291" t="s">
        <v>1151</v>
      </c>
      <c r="H1" s="3291"/>
      <c r="I1" s="3291"/>
      <c r="J1" s="3291"/>
      <c r="K1" s="3291"/>
      <c r="L1" s="3291"/>
      <c r="N1" s="3291" t="s">
        <v>1152</v>
      </c>
      <c r="O1" s="3291"/>
      <c r="P1" s="3291"/>
      <c r="Q1" s="3291"/>
      <c r="R1" s="1446"/>
      <c r="S1" s="3291" t="s">
        <v>1153</v>
      </c>
      <c r="T1" s="3291"/>
      <c r="U1" s="3291"/>
      <c r="V1" s="3291"/>
      <c r="X1" s="3290" t="s">
        <v>1154</v>
      </c>
      <c r="Y1" s="3291"/>
      <c r="Z1" s="3291"/>
      <c r="AA1" s="3291"/>
      <c r="AB1" s="3291"/>
      <c r="AD1" s="3290" t="s">
        <v>1155</v>
      </c>
      <c r="AE1" s="3291"/>
      <c r="AF1" s="3291"/>
      <c r="AG1" s="3291"/>
      <c r="AH1" s="3291"/>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18" customFormat="1" ht="14.25">
      <c r="A3" s="2927" t="s">
        <v>3028</v>
      </c>
      <c r="B3" s="2919"/>
      <c r="C3" s="2919"/>
      <c r="D3" s="2920"/>
      <c r="E3" s="2920"/>
      <c r="F3" s="2919"/>
      <c r="G3" s="2921"/>
      <c r="H3" s="2922"/>
      <c r="I3" s="2923">
        <f>ROUND(AVERAGE($I8:$I23),2)</f>
        <v>2.4500000000000002</v>
      </c>
      <c r="J3" s="2923">
        <f>ROUND(AVERAGE($J8:$J23),2)</f>
        <v>1.65</v>
      </c>
      <c r="K3" s="2923">
        <f>ROUND(AVERAGE($K8:$K23),2)</f>
        <v>2.71</v>
      </c>
      <c r="L3" s="2923">
        <f>ROUND(AVERAGE($L8:$L23),2)</f>
        <v>1.39</v>
      </c>
      <c r="N3" s="2921"/>
      <c r="O3" s="2924"/>
      <c r="P3" s="2924"/>
      <c r="Q3" s="2924"/>
      <c r="R3" s="2924"/>
      <c r="S3" s="2921"/>
      <c r="T3" s="2924"/>
      <c r="U3" s="2924"/>
      <c r="V3" s="2924"/>
      <c r="W3" s="2916"/>
      <c r="X3" s="2925">
        <f>ROUND(SUMPRODUCT(PRODUCT(1+N3:N$22)),4)</f>
        <v>1.4517</v>
      </c>
      <c r="Y3" s="2925">
        <f>ROUND(SUMPRODUCT(PRODUCT(1+O3:O$22)),4)</f>
        <v>1.2928999999999999</v>
      </c>
      <c r="Z3" s="2925">
        <f t="shared" ref="Z3:Z20" si="0">Y3</f>
        <v>1.2928999999999999</v>
      </c>
      <c r="AA3" s="2925">
        <f>ROUND(SUMPRODUCT(PRODUCT(1+P3:P$22)),4)</f>
        <v>1.5068999999999999</v>
      </c>
      <c r="AB3" s="2925">
        <f>ROUND(SUMPRODUCT(PRODUCT(1+Q3:Q$22)),4)</f>
        <v>1.2557</v>
      </c>
      <c r="AD3" s="2926">
        <f>ROUND(AVERAGE(I3:I$23)/100,4)</f>
        <v>2.1600000000000001E-2</v>
      </c>
      <c r="AE3" s="2926">
        <f>ROUND(AVERAGE(J3:J$23)/100,4)</f>
        <v>1.4999999999999999E-2</v>
      </c>
      <c r="AF3" s="2926">
        <f t="shared" ref="AF3:AF21" si="1">AE3</f>
        <v>1.4999999999999999E-2</v>
      </c>
      <c r="AG3" s="2926">
        <f>ROUND(AVERAGE(K3:K$23)/100,4)</f>
        <v>2.3900000000000001E-2</v>
      </c>
      <c r="AH3" s="2926">
        <f>ROUND(AVERAGE(L3:L$23)/100,4)</f>
        <v>1.2800000000000001E-2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3035</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0">
        <v>2018</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7" t="s">
        <v>3029</v>
      </c>
      <c r="X5" s="1726">
        <f>ROUND(SUMPRODUCT(PRODUCT(1+N5:N$22)),4)</f>
        <v>1.4517</v>
      </c>
      <c r="Y5" s="1726">
        <f>ROUND(SUMPRODUCT(PRODUCT(1+O5:O$22)),4)</f>
        <v>1.2928999999999999</v>
      </c>
      <c r="Z5" s="1726">
        <f t="shared" ref="Z5" si="10">Y5</f>
        <v>1.2928999999999999</v>
      </c>
      <c r="AA5" s="1726">
        <f>ROUND(SUMPRODUCT(PRODUCT(1+P5:P$22)),4)</f>
        <v>1.5068999999999999</v>
      </c>
      <c r="AB5" s="1726">
        <f>ROUND(SUMPRODUCT(PRODUCT(1+Q5:Q$22)),4)</f>
        <v>1.2557</v>
      </c>
      <c r="AD5" s="1468">
        <f>ROUND(AVERAGE(I5:I$23)/100,4)</f>
        <v>2.1499999999999998E-2</v>
      </c>
      <c r="AE5" s="1468">
        <f>ROUND(AVERAGE(J5:J$23)/100,4)</f>
        <v>1.49E-2</v>
      </c>
      <c r="AF5" s="1468">
        <f t="shared" ref="AF5" si="11">AE5</f>
        <v>1.49E-2</v>
      </c>
      <c r="AG5" s="1468">
        <f>ROUND(AVERAGE(K5:K$23)/100,4)</f>
        <v>2.3699999999999999E-2</v>
      </c>
      <c r="AH5" s="1468">
        <f>ROUND(AVERAGE(L5:L$23)/100,4)</f>
        <v>1.2800000000000001E-2</v>
      </c>
    </row>
    <row r="6" spans="1:34" s="1466" customFormat="1" ht="13.5" thickBot="1">
      <c r="A6" s="1461" t="s">
        <v>3036</v>
      </c>
      <c r="B6" s="1477">
        <f t="shared" ref="B6" si="12">B7*(1+N6)</f>
        <v>446.46299999999997</v>
      </c>
      <c r="C6" s="1477">
        <f t="shared" ref="C6" si="13">C7*(1+O6)</f>
        <v>333.27840000000003</v>
      </c>
      <c r="D6" s="1477">
        <f t="shared" ref="D6" si="14">C6</f>
        <v>333.27840000000003</v>
      </c>
      <c r="E6" s="1477">
        <f t="shared" ref="E6" si="15">E7*(1+P6)</f>
        <v>637.28279999999995</v>
      </c>
      <c r="F6" s="1477">
        <f t="shared" ref="F6" si="16">F7*(1+Q6)</f>
        <v>288.68830000000003</v>
      </c>
      <c r="G6" s="2928"/>
      <c r="H6" s="1464">
        <v>2</v>
      </c>
      <c r="I6" s="1464">
        <v>0</v>
      </c>
      <c r="J6" s="1464">
        <v>0</v>
      </c>
      <c r="K6" s="1464">
        <v>0</v>
      </c>
      <c r="L6" s="1478">
        <v>0</v>
      </c>
      <c r="M6" s="1471"/>
      <c r="N6" s="1472">
        <f t="shared" ref="N6" si="17">I6/100</f>
        <v>0</v>
      </c>
      <c r="O6" s="1473">
        <f t="shared" ref="O6" si="18">J6/100</f>
        <v>0</v>
      </c>
      <c r="P6" s="1473">
        <f t="shared" ref="P6" si="19">K6/100</f>
        <v>0</v>
      </c>
      <c r="Q6" s="1473">
        <f t="shared" ref="Q6" si="20">L6/100</f>
        <v>0</v>
      </c>
      <c r="R6" s="1474"/>
      <c r="S6" s="1472"/>
      <c r="T6" s="1473"/>
      <c r="U6" s="1473"/>
      <c r="V6" s="1473"/>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6" customFormat="1" ht="13.5" thickBot="1">
      <c r="A7" s="1461" t="s">
        <v>3027</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28"/>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3024</v>
      </c>
      <c r="B8" s="1469">
        <v>439</v>
      </c>
      <c r="C8" s="1469">
        <v>327</v>
      </c>
      <c r="D8" s="1469">
        <f>C8</f>
        <v>327</v>
      </c>
      <c r="E8" s="1469">
        <v>627</v>
      </c>
      <c r="F8" s="1470">
        <v>283</v>
      </c>
      <c r="G8" s="2915">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3025</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1"/>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0"/>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1"/>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296">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293"/>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293"/>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294"/>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292">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293"/>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293"/>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294"/>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292">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293"/>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293"/>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294"/>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297">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298"/>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298"/>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299"/>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292">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293"/>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293"/>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294"/>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292">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293">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293">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294">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292">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293">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293">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294">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292">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293">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293">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294">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292">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293">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293">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294">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292">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293">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293">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294">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292">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293">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293">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294">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292">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293">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293">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294">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292">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293">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293">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294">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292">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293">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293">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294">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292">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293">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293">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294">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2995</v>
      </c>
      <c r="C1" s="3301" t="s">
        <v>2996</v>
      </c>
      <c r="D1" s="3302"/>
      <c r="E1" s="3302"/>
      <c r="F1" s="3302"/>
      <c r="G1" s="3302"/>
      <c r="H1" s="3302"/>
      <c r="I1" s="3302"/>
      <c r="J1" s="3302"/>
      <c r="K1" s="3302"/>
      <c r="L1" s="3302"/>
      <c r="M1" s="3302"/>
      <c r="N1" s="3302"/>
      <c r="O1" s="3302"/>
      <c r="P1" s="3302"/>
      <c r="Q1" s="3302"/>
      <c r="R1" s="3302"/>
      <c r="S1" s="3303"/>
      <c r="T1" s="1205" t="s">
        <v>2997</v>
      </c>
    </row>
    <row r="2" spans="1:45" s="707" customFormat="1">
      <c r="A2" s="1206"/>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69" t="s">
        <v>2999</v>
      </c>
      <c r="C5" s="1217"/>
      <c r="D5" s="1218"/>
      <c r="E5" s="1218"/>
      <c r="F5" s="1711"/>
      <c r="G5" s="1711"/>
      <c r="H5" s="1711"/>
      <c r="I5" s="1711"/>
      <c r="J5" s="1711"/>
      <c r="K5" s="1711"/>
      <c r="L5" s="1712"/>
      <c r="M5" s="1713"/>
      <c r="N5" s="1713"/>
      <c r="O5" s="1711"/>
      <c r="P5" s="1711"/>
      <c r="Q5" s="1711"/>
      <c r="R5" s="1711"/>
      <c r="S5" s="1714"/>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0" t="s">
        <v>3000</v>
      </c>
      <c r="C7" s="1122"/>
      <c r="D7" s="1116"/>
      <c r="E7" s="1116"/>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0" t="s">
        <v>3001</v>
      </c>
      <c r="C9" s="1122"/>
      <c r="D9" s="1116"/>
      <c r="E9" s="1116"/>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69" t="s">
        <v>3002</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69" t="s">
        <v>3003</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69" t="s">
        <v>3004</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3005</v>
      </c>
      <c r="B17" s="2906" t="s">
        <v>3006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07" t="s">
        <v>3007</v>
      </c>
      <c r="E19" s="1792"/>
      <c r="F19" s="1792"/>
      <c r="G19" s="1792"/>
      <c r="H19" s="1281"/>
      <c r="I19" s="168"/>
      <c r="J19" s="168"/>
      <c r="K19" s="168"/>
      <c r="L19" s="168"/>
      <c r="M19" s="168"/>
      <c r="N19" s="168"/>
      <c r="O19" s="168"/>
      <c r="P19" s="168"/>
      <c r="Q19" s="168"/>
      <c r="R19" s="788"/>
      <c r="S19" s="138"/>
    </row>
    <row r="20" spans="1:45" ht="16.5" thickBot="1">
      <c r="A20" s="715" t="s">
        <v>3008</v>
      </c>
      <c r="B20" s="338" t="e">
        <f ca="1">IF(D20="——",S22,S22-F20)</f>
        <v>#REF!</v>
      </c>
      <c r="C20" s="168"/>
      <c r="D20" s="2908" t="s">
        <v>3009</v>
      </c>
      <c r="E20" s="1793"/>
      <c r="F20" s="1205" t="e">
        <f ca="1">SUMIF(INDIRECT("'"&amp;H20&amp;"'"&amp;"!A:A"),"承租人权益价值",INDIRECT("'"&amp;H20&amp;"'"&amp;"!c:c"))</f>
        <v>#REF!</v>
      </c>
      <c r="G20" s="1205" t="s">
        <v>3010</v>
      </c>
      <c r="H20" s="2909"/>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81" t="s">
        <v>33</v>
      </c>
      <c r="D22" s="3082"/>
      <c r="E22" s="3082"/>
      <c r="F22" s="3082"/>
      <c r="G22" s="3082"/>
      <c r="H22" s="3082"/>
      <c r="I22" s="3082"/>
      <c r="J22" s="3082"/>
      <c r="K22" s="3082"/>
      <c r="L22" s="3082"/>
      <c r="M22" s="3082"/>
      <c r="N22" s="3082"/>
      <c r="O22" s="3082"/>
      <c r="P22" s="3082"/>
      <c r="Q22" s="3300"/>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1"/>
      <c r="B4" s="2984" t="s">
        <v>1630</v>
      </c>
      <c r="C4" s="2984"/>
      <c r="D4" s="2984"/>
      <c r="E4" s="1961"/>
    </row>
    <row r="5" spans="1:5" ht="16.5" thickTop="1">
      <c r="A5" s="1959"/>
      <c r="B5" s="2982" t="s">
        <v>1622</v>
      </c>
      <c r="C5" s="1962" t="s">
        <v>1623</v>
      </c>
      <c r="D5" s="1043">
        <f ca="1">结果表!H101</f>
        <v>5411</v>
      </c>
      <c r="E5" s="1959"/>
    </row>
    <row r="6" spans="1:5" ht="15.75">
      <c r="A6" s="1959"/>
      <c r="B6" s="2982"/>
      <c r="C6" s="1962" t="s">
        <v>1624</v>
      </c>
      <c r="D6" s="1043" t="str">
        <f ca="1">NUMBERSTRING(INT(D5*10000),2)&amp;"元整"</f>
        <v>伍仟肆佰壹拾壹万元整</v>
      </c>
      <c r="E6" s="1959"/>
    </row>
    <row r="7" spans="1:5" ht="15.75">
      <c r="A7" s="1959"/>
      <c r="B7" s="2987"/>
      <c r="C7" s="1963" t="s">
        <v>1625</v>
      </c>
      <c r="D7" s="1044">
        <f ca="1">结果表!H102</f>
        <v>29846</v>
      </c>
      <c r="E7" s="1959"/>
    </row>
    <row r="8" spans="1:5" ht="15.75">
      <c r="A8" s="1959"/>
      <c r="B8" s="2988" t="str">
        <f>结果表!E103</f>
        <v>2.估价师知悉的法定优先受偿款</v>
      </c>
      <c r="C8" s="1964" t="s">
        <v>1626</v>
      </c>
      <c r="D8" s="1044">
        <f>结果表!H103</f>
        <v>0</v>
      </c>
      <c r="E8" s="1959"/>
    </row>
    <row r="9" spans="1:5" ht="15.75">
      <c r="A9" s="1959"/>
      <c r="B9" s="2990"/>
      <c r="C9" s="1962" t="s">
        <v>1624</v>
      </c>
      <c r="D9" s="1043" t="str">
        <f>NUMBERSTRING(INT(D8*10000),2)&amp;"元整"</f>
        <v>零元整</v>
      </c>
      <c r="E9" s="1959"/>
    </row>
    <row r="10" spans="1:5" ht="15">
      <c r="A10" s="1959"/>
      <c r="B10" s="1965" t="s">
        <v>1629</v>
      </c>
      <c r="C10" s="1966" t="s">
        <v>1627</v>
      </c>
      <c r="D10" s="1045">
        <f>结果表!H104</f>
        <v>0</v>
      </c>
      <c r="E10" s="1959"/>
    </row>
    <row r="11" spans="1:5" ht="15">
      <c r="A11" s="1959"/>
      <c r="B11" s="1965" t="s">
        <v>1631</v>
      </c>
      <c r="C11" s="1966" t="s">
        <v>1632</v>
      </c>
      <c r="D11" s="1045">
        <f>结果表!H105</f>
        <v>0</v>
      </c>
      <c r="E11" s="1959"/>
    </row>
    <row r="12" spans="1:5" ht="15">
      <c r="A12" s="1959"/>
      <c r="B12" s="1965" t="s">
        <v>1633</v>
      </c>
      <c r="C12" s="1966" t="s">
        <v>1632</v>
      </c>
      <c r="D12" s="1045">
        <f>结果表!H106</f>
        <v>0</v>
      </c>
      <c r="E12" s="1959"/>
    </row>
    <row r="13" spans="1:5" ht="15.75">
      <c r="A13" s="1959"/>
      <c r="B13" s="2981" t="str">
        <f>结果表!E107</f>
        <v>3.房地产抵押价值</v>
      </c>
      <c r="C13" s="1967" t="s">
        <v>1623</v>
      </c>
      <c r="D13" s="1046">
        <f ca="1">结果表!H107</f>
        <v>5411</v>
      </c>
      <c r="E13" s="1959"/>
    </row>
    <row r="14" spans="1:5" ht="15.75">
      <c r="A14" s="1959"/>
      <c r="B14" s="2982"/>
      <c r="C14" s="1962" t="s">
        <v>1624</v>
      </c>
      <c r="D14" s="1043" t="str">
        <f ca="1">NUMBERSTRING(INT(D13*10000),2)&amp;"元整"</f>
        <v>伍仟肆佰壹拾壹万元整</v>
      </c>
      <c r="E14" s="1959"/>
    </row>
    <row r="15" spans="1:5" ht="15">
      <c r="A15" s="1959"/>
      <c r="B15" s="2987"/>
      <c r="C15" s="1963" t="s">
        <v>1634</v>
      </c>
      <c r="D15" s="1054">
        <f ca="1">结果表!H108</f>
        <v>29846</v>
      </c>
      <c r="E15" s="1959"/>
    </row>
    <row r="16" spans="1:5" ht="15">
      <c r="A16" s="1959"/>
      <c r="B16" s="2988" t="str">
        <f>结果表!E109</f>
        <v>4.抵押担保权已注销时的房地产抵押价值</v>
      </c>
      <c r="C16" s="1967" t="s">
        <v>1635</v>
      </c>
      <c r="D16" s="1968">
        <f ca="1">结果表!H109</f>
        <v>5411</v>
      </c>
      <c r="E16" s="1959"/>
    </row>
    <row r="17" spans="1:5" ht="15.75">
      <c r="A17" s="1959"/>
      <c r="B17" s="2989"/>
      <c r="C17" s="1962" t="s">
        <v>1636</v>
      </c>
      <c r="D17" s="1043" t="str">
        <f ca="1">NUMBERSTRING(INT(D16*10000),2)&amp;"元整"</f>
        <v>伍仟肆佰壹拾壹万元整</v>
      </c>
      <c r="E17" s="1959"/>
    </row>
    <row r="18" spans="1:5" ht="15">
      <c r="A18" s="1959"/>
      <c r="B18" s="2990"/>
      <c r="C18" s="1963" t="s">
        <v>1625</v>
      </c>
      <c r="D18" s="1054">
        <f ca="1">结果表!H110</f>
        <v>29846</v>
      </c>
      <c r="E18" s="1959"/>
    </row>
    <row r="19" spans="1:5" ht="15.75">
      <c r="A19" s="1959"/>
      <c r="B19" s="2981" t="str">
        <f>结果表!E111</f>
        <v>——</v>
      </c>
      <c r="C19" s="1967" t="s">
        <v>1623</v>
      </c>
      <c r="D19" s="1044" t="str">
        <f>结果表!H111</f>
        <v>——</v>
      </c>
      <c r="E19" s="1959"/>
    </row>
    <row r="20" spans="1:5" ht="15.75">
      <c r="A20" s="1959"/>
      <c r="B20" s="2982"/>
      <c r="C20" s="1962" t="s">
        <v>1636</v>
      </c>
      <c r="D20" s="1043" t="e">
        <f>NUMBERSTRING(INT(D19*10000),2)&amp;"元整"</f>
        <v>#VALUE!</v>
      </c>
      <c r="E20" s="1959"/>
    </row>
    <row r="21" spans="1:5" ht="15.75" thickBot="1">
      <c r="A21" s="1959"/>
      <c r="B21" s="2983"/>
      <c r="C21" s="1969" t="s">
        <v>1634</v>
      </c>
      <c r="D21" s="1055"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28465</v>
      </c>
      <c r="C2" s="2" t="s">
        <v>133</v>
      </c>
      <c r="D2" s="243"/>
      <c r="E2" s="243"/>
      <c r="F2" s="243"/>
      <c r="G2" s="243"/>
    </row>
    <row r="3" spans="1:7" s="244" customFormat="1" ht="18" customHeight="1" thickBot="1">
      <c r="A3" s="247" t="s">
        <v>85</v>
      </c>
      <c r="B3" s="248">
        <f ca="1">ROUND(B2*10000/'数据-汇总表'!E3,0)</f>
        <v>157006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36</v>
      </c>
      <c r="D10" s="1035">
        <f>'数据-汇总表'!E6</f>
        <v>1812.99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v>
      </c>
      <c r="D19" s="1039">
        <f>'数据-汇总表'!E3</f>
        <v>1812.99</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0"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1503</v>
      </c>
      <c r="D22" s="279">
        <f ca="1">C26</f>
        <v>6.9999999999999999E-4</v>
      </c>
      <c r="E22" s="280" t="s">
        <v>126</v>
      </c>
      <c r="F22" s="281">
        <f ca="1">'数据-取费表'!B40</f>
        <v>4.7500000000000001E-2</v>
      </c>
      <c r="G22" s="1290" t="str">
        <f>IF('数据-取费表'!B22&lt;=1,"单利计息","复利计息")</f>
        <v>复利计息</v>
      </c>
    </row>
    <row r="23" spans="1:7" s="258" customFormat="1" ht="13.5" customHeight="1">
      <c r="A23" s="954" t="s">
        <v>794</v>
      </c>
      <c r="B23" s="259" t="s">
        <v>1061</v>
      </c>
      <c r="C23" s="1356">
        <f ca="1">ROUND(IF('数据-取费表'!B22&lt;=1,C5*F22*'数据-取费表'!B23,C5*(POWER((1+F22),'数据-取费表'!B23)-1)),0)</f>
        <v>1486</v>
      </c>
      <c r="D23" s="282"/>
      <c r="E23" s="282"/>
      <c r="F23" s="283"/>
      <c r="G23" s="284" t="s">
        <v>108</v>
      </c>
    </row>
    <row r="24" spans="1:7" s="258" customFormat="1" ht="13.5" customHeight="1">
      <c r="A24" s="954"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6">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567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508</v>
      </c>
      <c r="D34" s="261"/>
      <c r="E34" s="264"/>
      <c r="F34" s="301">
        <f>IF('数据-取费表'!B24=0,1,'数据-取费表'!N16)</f>
        <v>1</v>
      </c>
      <c r="G34" s="263" t="s">
        <v>116</v>
      </c>
    </row>
    <row r="35" spans="1:7" ht="13.5" customHeight="1">
      <c r="A35" s="954" t="s">
        <v>796</v>
      </c>
      <c r="B35" s="259" t="s">
        <v>60</v>
      </c>
      <c r="C35" s="264">
        <f>ROUND(C34*F35,0)</f>
        <v>15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v>
      </c>
      <c r="D37" s="261">
        <f>'数据-汇总表'!E3</f>
        <v>1812.99</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0"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v>
      </c>
      <c r="D41" s="279">
        <f ca="1">C44</f>
        <v>6.9999999999999999E-4</v>
      </c>
      <c r="E41" s="280" t="s">
        <v>129</v>
      </c>
      <c r="F41" s="281"/>
      <c r="G41" s="1290" t="str">
        <f>IF('数据-取费表'!B22&lt;=1,"单利计息","复利计息")</f>
        <v>复利计息</v>
      </c>
    </row>
    <row r="42" spans="1:7" ht="13.5" customHeight="1">
      <c r="A42" s="954" t="s">
        <v>794</v>
      </c>
      <c r="B42" s="259" t="s">
        <v>1061</v>
      </c>
      <c r="C42" s="282">
        <f ca="1">ROUND(IF('数据-取费表'!B22&lt;=1,C33*F22*'数据-取费表'!B21/2,C33*(POWER((1+F22),'数据-取费表'!B21/2)-1)),0)</f>
        <v>20</v>
      </c>
      <c r="D42" s="282"/>
      <c r="E42" s="282"/>
      <c r="F42" s="283"/>
      <c r="G42" s="3166" t="s">
        <v>121</v>
      </c>
    </row>
    <row r="43" spans="1:7" ht="13.5" customHeight="1">
      <c r="A43" s="954" t="s">
        <v>792</v>
      </c>
      <c r="B43" s="259" t="s">
        <v>1064</v>
      </c>
      <c r="C43" s="282">
        <f ca="1">ROUND(IF('数据-取费表'!B22&lt;=1,C39*F22*'数据-取费表'!B21/2,C39*(POWER((1+F22),'数据-取费表'!B21/2)-1)),0)</f>
        <v>0</v>
      </c>
      <c r="D43" s="282"/>
      <c r="E43" s="282"/>
      <c r="F43" s="283"/>
      <c r="G43" s="3167"/>
    </row>
    <row r="44" spans="1:7" ht="13.5" customHeight="1">
      <c r="A44" s="954" t="s">
        <v>793</v>
      </c>
      <c r="B44" s="259" t="s">
        <v>1066</v>
      </c>
      <c r="C44" s="282">
        <f ca="1">ROUND(IF('数据-取费表'!B22&lt;=1,C40*F22*'数据-取费表'!B21/2,C40*(POWER((1+F22),'数据-取费表'!B21/2)-1)),4)</f>
        <v>6.9999999999999999E-4</v>
      </c>
      <c r="D44" s="282"/>
      <c r="E44" s="282"/>
      <c r="F44" s="283"/>
      <c r="G44" s="3168"/>
    </row>
    <row r="45" spans="1:7" s="258" customFormat="1" ht="13.5" customHeight="1">
      <c r="A45" s="951" t="s">
        <v>786</v>
      </c>
      <c r="B45" s="288" t="s">
        <v>112</v>
      </c>
      <c r="C45" s="289">
        <f>C46</f>
        <v>87</v>
      </c>
      <c r="D45" s="279">
        <f>C47</f>
        <v>3.0000000000000001E-3</v>
      </c>
      <c r="E45" s="280" t="s">
        <v>129</v>
      </c>
      <c r="F45" s="290"/>
      <c r="G45" s="291" t="s">
        <v>1072</v>
      </c>
    </row>
    <row r="46" spans="1:7" s="258" customFormat="1" ht="13.5" customHeight="1">
      <c r="A46" s="954" t="s">
        <v>794</v>
      </c>
      <c r="B46" s="292" t="s">
        <v>1065</v>
      </c>
      <c r="C46" s="293">
        <f>ROUND((C33+C39)*F27,0)</f>
        <v>87</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742</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608</v>
      </c>
      <c r="D51" s="276"/>
      <c r="E51" s="276"/>
      <c r="F51" s="308"/>
      <c r="G51" s="278" t="s">
        <v>64</v>
      </c>
    </row>
    <row r="52" spans="1:7" s="252" customFormat="1" ht="16.5" thickBot="1">
      <c r="A52" s="309" t="s">
        <v>65</v>
      </c>
      <c r="B52" s="310"/>
      <c r="C52" s="311">
        <f ca="1">C31+C51</f>
        <v>28465</v>
      </c>
      <c r="D52" s="310"/>
      <c r="E52" s="310"/>
      <c r="F52" s="310"/>
      <c r="G52" s="312"/>
    </row>
    <row r="55" spans="1:7" ht="15">
      <c r="B55" s="314" t="s">
        <v>66</v>
      </c>
      <c r="C55" s="315"/>
    </row>
    <row r="56" spans="1:7">
      <c r="B56" s="317" t="s">
        <v>67</v>
      </c>
      <c r="C56" s="318">
        <f ca="1">ROUND(C51/C52,3)</f>
        <v>2.1000000000000001E-2</v>
      </c>
    </row>
    <row r="57" spans="1:7">
      <c r="B57" s="317" t="s">
        <v>68</v>
      </c>
      <c r="C57" s="319">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871</v>
      </c>
      <c r="B1" s="330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40" t="s">
        <v>878</v>
      </c>
      <c r="B5" s="841" t="s">
        <v>879</v>
      </c>
      <c r="C5" s="1063">
        <v>8.8999999999999996E-2</v>
      </c>
      <c r="D5" s="1063">
        <v>7.3999999999999996E-2</v>
      </c>
      <c r="E5" s="1063">
        <v>7.4999999999999997E-2</v>
      </c>
      <c r="F5" s="1064">
        <v>0.1</v>
      </c>
    </row>
    <row r="6" spans="1:6" ht="14.25" thickBot="1">
      <c r="A6" s="840" t="s">
        <v>212</v>
      </c>
      <c r="B6" s="834" t="s">
        <v>880</v>
      </c>
      <c r="C6" s="1065">
        <v>0.1</v>
      </c>
      <c r="D6" s="1065">
        <v>9.0999999999999998E-2</v>
      </c>
      <c r="E6" s="1065">
        <v>9.0999999999999998E-2</v>
      </c>
      <c r="F6" s="1066">
        <v>0.1</v>
      </c>
    </row>
    <row r="7" spans="1:6" ht="14.25" thickBot="1">
      <c r="A7" s="840" t="s">
        <v>212</v>
      </c>
      <c r="B7" s="844" t="s">
        <v>201</v>
      </c>
      <c r="C7" s="1065">
        <v>8.5999999999999993E-2</v>
      </c>
      <c r="D7" s="1065">
        <v>9.6000000000000002E-2</v>
      </c>
      <c r="E7" s="1065">
        <v>7.5999999999999998E-2</v>
      </c>
      <c r="F7" s="1066">
        <v>0.1</v>
      </c>
    </row>
    <row r="8" spans="1:6" ht="14.25" thickBot="1">
      <c r="A8" s="840" t="s">
        <v>212</v>
      </c>
      <c r="B8" s="834" t="s">
        <v>213</v>
      </c>
      <c r="C8" s="1065">
        <v>9.9000000000000005E-2</v>
      </c>
      <c r="D8" s="1065">
        <v>9.8000000000000004E-2</v>
      </c>
      <c r="E8" s="1065">
        <v>9.8000000000000004E-2</v>
      </c>
      <c r="F8" s="1066">
        <v>0.1</v>
      </c>
    </row>
    <row r="9" spans="1:6" ht="14.25" thickBot="1">
      <c r="A9" s="850" t="s">
        <v>212</v>
      </c>
      <c r="B9" s="845" t="s">
        <v>225</v>
      </c>
      <c r="C9" s="1067">
        <v>0.05</v>
      </c>
      <c r="D9" s="1075"/>
      <c r="E9" s="1075"/>
      <c r="F9" s="1076"/>
    </row>
    <row r="10" spans="1:6" ht="14.25" thickBot="1">
      <c r="A10" s="840" t="s">
        <v>269</v>
      </c>
      <c r="B10" s="841" t="s">
        <v>881</v>
      </c>
      <c r="C10" s="1063">
        <v>8.8999999999999996E-2</v>
      </c>
      <c r="D10" s="1063">
        <v>7.2999999999999995E-2</v>
      </c>
      <c r="E10" s="1063">
        <v>8.2000000000000003E-2</v>
      </c>
      <c r="F10" s="1064">
        <v>0.1</v>
      </c>
    </row>
    <row r="11" spans="1:6" ht="14.25" thickBot="1">
      <c r="A11" s="840" t="s">
        <v>269</v>
      </c>
      <c r="B11" s="844" t="s">
        <v>188</v>
      </c>
      <c r="C11" s="1065">
        <v>8.8999999999999996E-2</v>
      </c>
      <c r="D11" s="1065">
        <v>7.2999999999999995E-2</v>
      </c>
      <c r="E11" s="1065">
        <v>8.2000000000000003E-2</v>
      </c>
      <c r="F11" s="1066">
        <v>0.1</v>
      </c>
    </row>
    <row r="12" spans="1:6" ht="14.25" thickBot="1">
      <c r="A12" s="840" t="s">
        <v>269</v>
      </c>
      <c r="B12" s="844" t="s">
        <v>138</v>
      </c>
      <c r="C12" s="1065">
        <v>6.0999999999999999E-2</v>
      </c>
      <c r="D12" s="1065">
        <v>7.0999999999999994E-2</v>
      </c>
      <c r="E12" s="1065">
        <v>9.6000000000000002E-2</v>
      </c>
      <c r="F12" s="1066">
        <v>0.1</v>
      </c>
    </row>
    <row r="13" spans="1:6" ht="14.25" thickBot="1">
      <c r="A13" s="840" t="s">
        <v>269</v>
      </c>
      <c r="B13" s="844" t="s">
        <v>214</v>
      </c>
      <c r="C13" s="1065">
        <v>6.9000000000000006E-2</v>
      </c>
      <c r="D13" s="1065">
        <v>6.5000000000000002E-2</v>
      </c>
      <c r="E13" s="1065">
        <v>6.6000000000000003E-2</v>
      </c>
      <c r="F13" s="1066">
        <v>0.1</v>
      </c>
    </row>
    <row r="14" spans="1:6" ht="14.25" thickBot="1">
      <c r="A14" s="840" t="s">
        <v>269</v>
      </c>
      <c r="B14" s="844" t="s">
        <v>226</v>
      </c>
      <c r="C14" s="1065">
        <v>0.1</v>
      </c>
      <c r="D14" s="1065">
        <v>6.5000000000000002E-2</v>
      </c>
      <c r="E14" s="1065">
        <v>7.0000000000000007E-2</v>
      </c>
      <c r="F14" s="1066">
        <v>0.1</v>
      </c>
    </row>
    <row r="15" spans="1:6" ht="14.25" thickBot="1">
      <c r="A15" s="840" t="s">
        <v>269</v>
      </c>
      <c r="B15" s="844" t="s">
        <v>237</v>
      </c>
      <c r="C15" s="1065">
        <v>9.8000000000000004E-2</v>
      </c>
      <c r="D15" s="1065">
        <v>8.8999999999999996E-2</v>
      </c>
      <c r="E15" s="1065">
        <v>8.8999999999999996E-2</v>
      </c>
      <c r="F15" s="1066">
        <v>0.1</v>
      </c>
    </row>
    <row r="16" spans="1:6" ht="14.25" thickBot="1">
      <c r="A16" s="840" t="s">
        <v>269</v>
      </c>
      <c r="B16" s="844" t="s">
        <v>248</v>
      </c>
      <c r="C16" s="1065">
        <v>7.0000000000000007E-2</v>
      </c>
      <c r="D16" s="1065">
        <v>9.2999999999999999E-2</v>
      </c>
      <c r="E16" s="1065">
        <v>9.6000000000000002E-2</v>
      </c>
      <c r="F16" s="1066">
        <v>0.1</v>
      </c>
    </row>
    <row r="17" spans="1:6" ht="14.25" thickBot="1">
      <c r="A17" s="840" t="s">
        <v>269</v>
      </c>
      <c r="B17" s="844" t="s">
        <v>259</v>
      </c>
      <c r="C17" s="1065">
        <v>9.5000000000000001E-2</v>
      </c>
      <c r="D17" s="1065">
        <v>0.1</v>
      </c>
      <c r="E17" s="1065">
        <v>0.1</v>
      </c>
      <c r="F17" s="1077"/>
    </row>
    <row r="18" spans="1:6" ht="14.25" thickBot="1">
      <c r="A18" s="840" t="s">
        <v>269</v>
      </c>
      <c r="B18" s="844" t="s">
        <v>271</v>
      </c>
      <c r="C18" s="1065">
        <v>7.3999999999999996E-2</v>
      </c>
      <c r="D18" s="1065">
        <v>9.9000000000000005E-2</v>
      </c>
      <c r="E18" s="1065">
        <v>0.1</v>
      </c>
      <c r="F18" s="1077"/>
    </row>
    <row r="19" spans="1:6" ht="14.25" thickBot="1">
      <c r="A19" s="840" t="s">
        <v>269</v>
      </c>
      <c r="B19" s="844" t="s">
        <v>281</v>
      </c>
      <c r="C19" s="1065">
        <v>9.9000000000000005E-2</v>
      </c>
      <c r="D19" s="1065">
        <v>7.5999999999999998E-2</v>
      </c>
      <c r="E19" s="1065">
        <v>8.6999999999999994E-2</v>
      </c>
      <c r="F19" s="1077"/>
    </row>
    <row r="20" spans="1:6" ht="14.25" thickBot="1">
      <c r="A20" s="840" t="s">
        <v>269</v>
      </c>
      <c r="B20" s="844" t="s">
        <v>291</v>
      </c>
      <c r="C20" s="1065">
        <v>9.8000000000000004E-2</v>
      </c>
      <c r="D20" s="1065">
        <v>8.5000000000000006E-2</v>
      </c>
      <c r="E20" s="1065">
        <v>8.2000000000000003E-2</v>
      </c>
      <c r="F20" s="1077"/>
    </row>
    <row r="21" spans="1:6" ht="14.25" thickBot="1">
      <c r="A21" s="840" t="s">
        <v>269</v>
      </c>
      <c r="B21" s="844" t="s">
        <v>301</v>
      </c>
      <c r="C21" s="1065">
        <v>6.6000000000000003E-2</v>
      </c>
      <c r="D21" s="1065">
        <v>6.4000000000000001E-2</v>
      </c>
      <c r="E21" s="1065">
        <v>6.5000000000000002E-2</v>
      </c>
      <c r="F21" s="1077"/>
    </row>
    <row r="22" spans="1:6" ht="14.25" thickBot="1">
      <c r="A22" s="840" t="s">
        <v>269</v>
      </c>
      <c r="B22" s="844" t="s">
        <v>882</v>
      </c>
      <c r="C22" s="1065">
        <v>0.08</v>
      </c>
      <c r="D22" s="1065">
        <v>9.8000000000000004E-2</v>
      </c>
      <c r="E22" s="1065">
        <v>9.8000000000000004E-2</v>
      </c>
      <c r="F22" s="1077"/>
    </row>
    <row r="23" spans="1:6" ht="14.25" thickBot="1">
      <c r="A23" s="840" t="s">
        <v>269</v>
      </c>
      <c r="B23" s="844" t="s">
        <v>322</v>
      </c>
      <c r="C23" s="1065">
        <v>9.9000000000000005E-2</v>
      </c>
      <c r="D23" s="1065">
        <v>9.8000000000000004E-2</v>
      </c>
      <c r="E23" s="1065">
        <v>9.0999999999999998E-2</v>
      </c>
      <c r="F23" s="1077"/>
    </row>
    <row r="24" spans="1:6" ht="14.25" thickBot="1">
      <c r="A24" s="840" t="s">
        <v>269</v>
      </c>
      <c r="B24" s="844" t="s">
        <v>333</v>
      </c>
      <c r="C24" s="1065">
        <v>8.8999999999999996E-2</v>
      </c>
      <c r="D24" s="1065">
        <v>9.7000000000000003E-2</v>
      </c>
      <c r="E24" s="1065">
        <v>7.0000000000000007E-2</v>
      </c>
      <c r="F24" s="1077"/>
    </row>
    <row r="25" spans="1:6" ht="14.25" thickBot="1">
      <c r="A25" s="840" t="s">
        <v>269</v>
      </c>
      <c r="B25" s="844" t="s">
        <v>343</v>
      </c>
      <c r="C25" s="1065">
        <v>8.8999999999999996E-2</v>
      </c>
      <c r="D25" s="1065">
        <v>0.1</v>
      </c>
      <c r="E25" s="1065">
        <v>8.1000000000000003E-2</v>
      </c>
      <c r="F25" s="1077"/>
    </row>
    <row r="26" spans="1:6" ht="14.25" thickBot="1">
      <c r="A26" s="840" t="s">
        <v>269</v>
      </c>
      <c r="B26" s="844" t="s">
        <v>353</v>
      </c>
      <c r="C26" s="1078"/>
      <c r="D26" s="1065">
        <v>9.6000000000000002E-2</v>
      </c>
      <c r="E26" s="1065">
        <v>9.2999999999999999E-2</v>
      </c>
      <c r="F26" s="1077"/>
    </row>
    <row r="27" spans="1:6" ht="14.25" thickBot="1">
      <c r="A27" s="840" t="s">
        <v>269</v>
      </c>
      <c r="B27" s="844" t="s">
        <v>363</v>
      </c>
      <c r="C27" s="1078"/>
      <c r="D27" s="1065">
        <v>7.5999999999999998E-2</v>
      </c>
      <c r="E27" s="1065">
        <v>9.1999999999999998E-2</v>
      </c>
      <c r="F27" s="1077"/>
    </row>
    <row r="28" spans="1:6" ht="14.25" thickBot="1">
      <c r="A28" s="850" t="s">
        <v>269</v>
      </c>
      <c r="B28" s="845" t="s">
        <v>373</v>
      </c>
      <c r="C28" s="1075"/>
      <c r="D28" s="1067">
        <v>7.5999999999999998E-2</v>
      </c>
      <c r="E28" s="1067">
        <v>9.1999999999999998E-2</v>
      </c>
      <c r="F28" s="1076"/>
    </row>
    <row r="29" spans="1:6" ht="14.25" thickBot="1">
      <c r="A29" s="840" t="s">
        <v>442</v>
      </c>
      <c r="B29" s="841" t="s">
        <v>883</v>
      </c>
      <c r="C29" s="1063">
        <v>6.4000000000000001E-2</v>
      </c>
      <c r="D29" s="1063">
        <v>6.5000000000000002E-2</v>
      </c>
      <c r="E29" s="1063">
        <v>6.9000000000000006E-2</v>
      </c>
      <c r="F29" s="1064">
        <v>0.1</v>
      </c>
    </row>
    <row r="30" spans="1:6" ht="14.25" thickBot="1">
      <c r="A30" s="840" t="s">
        <v>442</v>
      </c>
      <c r="B30" s="844" t="s">
        <v>189</v>
      </c>
      <c r="C30" s="1065">
        <v>6.4000000000000001E-2</v>
      </c>
      <c r="D30" s="1065">
        <v>9.9000000000000005E-2</v>
      </c>
      <c r="E30" s="1065">
        <v>0.1</v>
      </c>
      <c r="F30" s="1066">
        <v>0.1</v>
      </c>
    </row>
    <row r="31" spans="1:6" ht="14.25" thickBot="1">
      <c r="A31" s="840" t="s">
        <v>442</v>
      </c>
      <c r="B31" s="844" t="s">
        <v>202</v>
      </c>
      <c r="C31" s="1065">
        <v>0.1</v>
      </c>
      <c r="D31" s="1065">
        <v>9.5000000000000001E-2</v>
      </c>
      <c r="E31" s="1065">
        <v>8.8999999999999996E-2</v>
      </c>
      <c r="F31" s="1066">
        <v>0.1</v>
      </c>
    </row>
    <row r="32" spans="1:6" ht="14.25" thickBot="1">
      <c r="A32" s="840" t="s">
        <v>442</v>
      </c>
      <c r="B32" s="844" t="s">
        <v>215</v>
      </c>
      <c r="C32" s="1065">
        <v>0.05</v>
      </c>
      <c r="D32" s="1065">
        <v>0.05</v>
      </c>
      <c r="E32" s="1065">
        <v>8.7999999999999995E-2</v>
      </c>
      <c r="F32" s="1066">
        <v>0.1</v>
      </c>
    </row>
    <row r="33" spans="1:6" ht="14.25" thickBot="1">
      <c r="A33" s="840" t="s">
        <v>442</v>
      </c>
      <c r="B33" s="844" t="s">
        <v>227</v>
      </c>
      <c r="C33" s="1065">
        <v>7.4999999999999997E-2</v>
      </c>
      <c r="D33" s="1065">
        <v>9.4E-2</v>
      </c>
      <c r="E33" s="1065">
        <v>9.7000000000000003E-2</v>
      </c>
      <c r="F33" s="1066">
        <v>0.1</v>
      </c>
    </row>
    <row r="34" spans="1:6" ht="14.25" thickBot="1">
      <c r="A34" s="840" t="s">
        <v>442</v>
      </c>
      <c r="B34" s="844" t="s">
        <v>238</v>
      </c>
      <c r="C34" s="1065">
        <v>9.8000000000000004E-2</v>
      </c>
      <c r="D34" s="1065">
        <v>8.5999999999999993E-2</v>
      </c>
      <c r="E34" s="1065">
        <v>9.7000000000000003E-2</v>
      </c>
      <c r="F34" s="1066">
        <v>0.1</v>
      </c>
    </row>
    <row r="35" spans="1:6" ht="14.25" thickBot="1">
      <c r="A35" s="840" t="s">
        <v>442</v>
      </c>
      <c r="B35" s="844" t="s">
        <v>249</v>
      </c>
      <c r="C35" s="1065">
        <v>5.8999999999999997E-2</v>
      </c>
      <c r="D35" s="1065">
        <v>6.5000000000000002E-2</v>
      </c>
      <c r="E35" s="1065">
        <v>7.0000000000000007E-2</v>
      </c>
      <c r="F35" s="1066">
        <v>0.1</v>
      </c>
    </row>
    <row r="36" spans="1:6" ht="14.25" thickBot="1">
      <c r="A36" s="840" t="s">
        <v>442</v>
      </c>
      <c r="B36" s="844" t="s">
        <v>260</v>
      </c>
      <c r="C36" s="1065">
        <v>6.3E-2</v>
      </c>
      <c r="D36" s="1065">
        <v>0.1</v>
      </c>
      <c r="E36" s="1065">
        <v>0.1</v>
      </c>
      <c r="F36" s="1066">
        <v>0.1</v>
      </c>
    </row>
    <row r="37" spans="1:6" ht="14.25" thickBot="1">
      <c r="A37" s="840" t="s">
        <v>442</v>
      </c>
      <c r="B37" s="844" t="s">
        <v>272</v>
      </c>
      <c r="C37" s="1065">
        <v>7.3999999999999996E-2</v>
      </c>
      <c r="D37" s="1065">
        <v>0.1</v>
      </c>
      <c r="E37" s="1065">
        <v>0.1</v>
      </c>
      <c r="F37" s="1066">
        <v>0.1</v>
      </c>
    </row>
    <row r="38" spans="1:6" ht="14.25" thickBot="1">
      <c r="A38" s="840" t="s">
        <v>442</v>
      </c>
      <c r="B38" s="844" t="s">
        <v>282</v>
      </c>
      <c r="C38" s="1065">
        <v>0.1</v>
      </c>
      <c r="D38" s="1065">
        <v>9.6000000000000002E-2</v>
      </c>
      <c r="E38" s="1065">
        <v>9.6000000000000002E-2</v>
      </c>
      <c r="F38" s="1077"/>
    </row>
    <row r="39" spans="1:6" ht="14.25" thickBot="1">
      <c r="A39" s="840" t="s">
        <v>442</v>
      </c>
      <c r="B39" s="844" t="s">
        <v>292</v>
      </c>
      <c r="C39" s="1065">
        <v>0.1</v>
      </c>
      <c r="D39" s="1065">
        <v>9.6000000000000002E-2</v>
      </c>
      <c r="E39" s="1065">
        <v>9.6000000000000002E-2</v>
      </c>
      <c r="F39" s="1077"/>
    </row>
    <row r="40" spans="1:6" ht="14.25" thickBot="1">
      <c r="A40" s="840" t="s">
        <v>442</v>
      </c>
      <c r="B40" s="844" t="s">
        <v>302</v>
      </c>
      <c r="C40" s="1065">
        <v>9.6000000000000002E-2</v>
      </c>
      <c r="D40" s="1065">
        <v>0.1</v>
      </c>
      <c r="E40" s="1065">
        <v>9.9000000000000005E-2</v>
      </c>
      <c r="F40" s="1077"/>
    </row>
    <row r="41" spans="1:6" ht="14.25" thickBot="1">
      <c r="A41" s="840" t="s">
        <v>442</v>
      </c>
      <c r="B41" s="844" t="s">
        <v>312</v>
      </c>
      <c r="C41" s="1065">
        <v>9.6000000000000002E-2</v>
      </c>
      <c r="D41" s="1065">
        <v>9.8000000000000004E-2</v>
      </c>
      <c r="E41" s="1065">
        <v>9.8000000000000004E-2</v>
      </c>
      <c r="F41" s="1077"/>
    </row>
    <row r="42" spans="1:6" ht="14.25" thickBot="1">
      <c r="A42" s="840" t="s">
        <v>442</v>
      </c>
      <c r="B42" s="844" t="s">
        <v>323</v>
      </c>
      <c r="C42" s="1065">
        <v>0.1</v>
      </c>
      <c r="D42" s="1065">
        <v>8.7999999999999995E-2</v>
      </c>
      <c r="E42" s="1065">
        <v>0.1</v>
      </c>
      <c r="F42" s="1077"/>
    </row>
    <row r="43" spans="1:6" ht="14.25" thickBot="1">
      <c r="A43" s="840" t="s">
        <v>442</v>
      </c>
      <c r="B43" s="844" t="s">
        <v>334</v>
      </c>
      <c r="C43" s="1065">
        <v>9.8000000000000004E-2</v>
      </c>
      <c r="D43" s="1065">
        <v>9.7000000000000003E-2</v>
      </c>
      <c r="E43" s="1065">
        <v>9.6000000000000002E-2</v>
      </c>
      <c r="F43" s="1077"/>
    </row>
    <row r="44" spans="1:6" ht="14.25" thickBot="1">
      <c r="A44" s="840" t="s">
        <v>442</v>
      </c>
      <c r="B44" s="844" t="s">
        <v>344</v>
      </c>
      <c r="C44" s="1065">
        <v>8.5999999999999993E-2</v>
      </c>
      <c r="D44" s="1065">
        <v>7.9000000000000001E-2</v>
      </c>
      <c r="E44" s="1065">
        <v>7.0999999999999994E-2</v>
      </c>
      <c r="F44" s="1077"/>
    </row>
    <row r="45" spans="1:6" ht="14.25" thickBot="1">
      <c r="A45" s="840" t="s">
        <v>442</v>
      </c>
      <c r="B45" s="844" t="s">
        <v>354</v>
      </c>
      <c r="C45" s="1065">
        <v>9.8000000000000004E-2</v>
      </c>
      <c r="D45" s="1065">
        <v>9.6000000000000002E-2</v>
      </c>
      <c r="E45" s="1065">
        <v>9.6000000000000002E-2</v>
      </c>
      <c r="F45" s="1077"/>
    </row>
    <row r="46" spans="1:6" ht="14.25" thickBot="1">
      <c r="A46" s="840" t="s">
        <v>442</v>
      </c>
      <c r="B46" s="844" t="s">
        <v>364</v>
      </c>
      <c r="C46" s="1065">
        <v>8.5999999999999993E-2</v>
      </c>
      <c r="D46" s="1065">
        <v>9.8000000000000004E-2</v>
      </c>
      <c r="E46" s="1065">
        <v>8.7999999999999995E-2</v>
      </c>
      <c r="F46" s="1077"/>
    </row>
    <row r="47" spans="1:6" ht="14.25" thickBot="1">
      <c r="A47" s="840" t="s">
        <v>442</v>
      </c>
      <c r="B47" s="844" t="s">
        <v>374</v>
      </c>
      <c r="C47" s="1065">
        <v>9.6000000000000002E-2</v>
      </c>
      <c r="D47" s="1078"/>
      <c r="E47" s="1065">
        <v>6.9000000000000006E-2</v>
      </c>
      <c r="F47" s="1077"/>
    </row>
    <row r="48" spans="1:6" ht="14.25" thickBot="1">
      <c r="A48" s="850" t="s">
        <v>442</v>
      </c>
      <c r="B48" s="845" t="s">
        <v>383</v>
      </c>
      <c r="C48" s="1067">
        <v>9.8000000000000004E-2</v>
      </c>
      <c r="D48" s="1075"/>
      <c r="E48" s="1067">
        <v>9.5000000000000001E-2</v>
      </c>
      <c r="F48" s="1076"/>
    </row>
    <row r="49" spans="1:6" ht="14.25" thickBot="1">
      <c r="A49" s="840" t="s">
        <v>137</v>
      </c>
      <c r="B49" s="841" t="s">
        <v>884</v>
      </c>
      <c r="C49" s="1063">
        <v>9.7000000000000003E-2</v>
      </c>
      <c r="D49" s="1063">
        <v>9.5000000000000001E-2</v>
      </c>
      <c r="E49" s="1063">
        <v>9.7000000000000003E-2</v>
      </c>
      <c r="F49" s="1064">
        <v>0.1</v>
      </c>
    </row>
    <row r="50" spans="1:6" ht="14.25" thickBot="1">
      <c r="A50" s="840" t="s">
        <v>137</v>
      </c>
      <c r="B50" s="834" t="s">
        <v>190</v>
      </c>
      <c r="C50" s="1065">
        <v>7.4999999999999997E-2</v>
      </c>
      <c r="D50" s="1065">
        <v>9.5000000000000001E-2</v>
      </c>
      <c r="E50" s="1065">
        <v>0.1</v>
      </c>
      <c r="F50" s="1066">
        <v>0.1</v>
      </c>
    </row>
    <row r="51" spans="1:6" ht="14.25" thickBot="1">
      <c r="A51" s="840" t="s">
        <v>137</v>
      </c>
      <c r="B51" s="834" t="s">
        <v>203</v>
      </c>
      <c r="C51" s="1065">
        <v>9.8000000000000004E-2</v>
      </c>
      <c r="D51" s="1065">
        <v>8.8999999999999996E-2</v>
      </c>
      <c r="E51" s="1065">
        <v>0.1</v>
      </c>
      <c r="F51" s="1066">
        <v>0.1</v>
      </c>
    </row>
    <row r="52" spans="1:6" ht="14.25" thickBot="1">
      <c r="A52" s="840" t="s">
        <v>137</v>
      </c>
      <c r="B52" s="834" t="s">
        <v>216</v>
      </c>
      <c r="C52" s="1065">
        <v>9.8000000000000004E-2</v>
      </c>
      <c r="D52" s="1065">
        <v>9.7000000000000003E-2</v>
      </c>
      <c r="E52" s="1065">
        <v>8.1000000000000003E-2</v>
      </c>
      <c r="F52" s="1066">
        <v>0.1</v>
      </c>
    </row>
    <row r="53" spans="1:6" ht="14.25" thickBot="1">
      <c r="A53" s="840" t="s">
        <v>137</v>
      </c>
      <c r="B53" s="834" t="s">
        <v>228</v>
      </c>
      <c r="C53" s="1065">
        <v>9.7000000000000003E-2</v>
      </c>
      <c r="D53" s="1065">
        <v>7.5999999999999998E-2</v>
      </c>
      <c r="E53" s="1065">
        <v>7.0999999999999994E-2</v>
      </c>
      <c r="F53" s="1066">
        <v>0.1</v>
      </c>
    </row>
    <row r="54" spans="1:6" ht="14.25" thickBot="1">
      <c r="A54" s="840" t="s">
        <v>137</v>
      </c>
      <c r="B54" s="834" t="s">
        <v>239</v>
      </c>
      <c r="C54" s="1065">
        <v>7.5999999999999998E-2</v>
      </c>
      <c r="D54" s="1065">
        <v>0.1</v>
      </c>
      <c r="E54" s="1065">
        <v>9.9000000000000005E-2</v>
      </c>
      <c r="F54" s="1066">
        <v>0.1</v>
      </c>
    </row>
    <row r="55" spans="1:6" ht="14.25" thickBot="1">
      <c r="A55" s="840" t="s">
        <v>137</v>
      </c>
      <c r="B55" s="834" t="s">
        <v>250</v>
      </c>
      <c r="C55" s="1065">
        <v>0.1</v>
      </c>
      <c r="D55" s="1065">
        <v>0.1</v>
      </c>
      <c r="E55" s="1065">
        <v>9.6000000000000002E-2</v>
      </c>
      <c r="F55" s="1066">
        <v>0.1</v>
      </c>
    </row>
    <row r="56" spans="1:6" ht="14.25" thickBot="1">
      <c r="A56" s="840" t="s">
        <v>137</v>
      </c>
      <c r="B56" s="834" t="s">
        <v>261</v>
      </c>
      <c r="C56" s="1065">
        <v>0.1</v>
      </c>
      <c r="D56" s="1065">
        <v>9.6000000000000002E-2</v>
      </c>
      <c r="E56" s="1065">
        <v>5.1999999999999998E-2</v>
      </c>
      <c r="F56" s="1066">
        <v>0.1</v>
      </c>
    </row>
    <row r="57" spans="1:6" ht="14.25" thickBot="1">
      <c r="A57" s="840" t="s">
        <v>137</v>
      </c>
      <c r="B57" s="834" t="s">
        <v>273</v>
      </c>
      <c r="C57" s="1065">
        <v>9.7000000000000003E-2</v>
      </c>
      <c r="D57" s="1065">
        <v>9.6000000000000002E-2</v>
      </c>
      <c r="E57" s="1065">
        <v>9.6000000000000002E-2</v>
      </c>
      <c r="F57" s="1066">
        <v>0.1</v>
      </c>
    </row>
    <row r="58" spans="1:6" ht="14.25" thickBot="1">
      <c r="A58" s="840" t="s">
        <v>137</v>
      </c>
      <c r="B58" s="834" t="s">
        <v>283</v>
      </c>
      <c r="C58" s="1065">
        <v>9.6000000000000002E-2</v>
      </c>
      <c r="D58" s="1065">
        <v>9.9000000000000005E-2</v>
      </c>
      <c r="E58" s="1065">
        <v>9.6000000000000002E-2</v>
      </c>
      <c r="F58" s="1066">
        <v>0.1</v>
      </c>
    </row>
    <row r="59" spans="1:6" ht="14.25" thickBot="1">
      <c r="A59" s="840" t="s">
        <v>137</v>
      </c>
      <c r="B59" s="834" t="s">
        <v>293</v>
      </c>
      <c r="C59" s="1065">
        <v>7.1999999999999995E-2</v>
      </c>
      <c r="D59" s="1065">
        <v>9.6000000000000002E-2</v>
      </c>
      <c r="E59" s="1065">
        <v>7.0999999999999994E-2</v>
      </c>
      <c r="F59" s="1066">
        <v>0.1</v>
      </c>
    </row>
    <row r="60" spans="1:6" ht="14.25" thickBot="1">
      <c r="A60" s="840" t="s">
        <v>137</v>
      </c>
      <c r="B60" s="834" t="s">
        <v>303</v>
      </c>
      <c r="C60" s="1065">
        <v>9.6000000000000002E-2</v>
      </c>
      <c r="D60" s="1065">
        <v>8.8999999999999996E-2</v>
      </c>
      <c r="E60" s="1065">
        <v>9.6000000000000002E-2</v>
      </c>
      <c r="F60" s="1066">
        <v>0.1</v>
      </c>
    </row>
    <row r="61" spans="1:6" ht="14.25" thickBot="1">
      <c r="A61" s="840" t="s">
        <v>137</v>
      </c>
      <c r="B61" s="834" t="s">
        <v>313</v>
      </c>
      <c r="C61" s="1065">
        <v>8.8999999999999996E-2</v>
      </c>
      <c r="D61" s="1065">
        <v>9.8000000000000004E-2</v>
      </c>
      <c r="E61" s="1065">
        <v>8.7999999999999995E-2</v>
      </c>
      <c r="F61" s="1077"/>
    </row>
    <row r="62" spans="1:6" ht="14.25" thickBot="1">
      <c r="A62" s="840" t="s">
        <v>137</v>
      </c>
      <c r="B62" s="834" t="s">
        <v>324</v>
      </c>
      <c r="C62" s="1065">
        <v>9.8000000000000004E-2</v>
      </c>
      <c r="D62" s="1065">
        <v>9.2999999999999999E-2</v>
      </c>
      <c r="E62" s="1065">
        <v>9.7000000000000003E-2</v>
      </c>
      <c r="F62" s="1077"/>
    </row>
    <row r="63" spans="1:6" ht="14.25" thickBot="1">
      <c r="A63" s="840" t="s">
        <v>137</v>
      </c>
      <c r="B63" s="834" t="s">
        <v>335</v>
      </c>
      <c r="C63" s="1065">
        <v>9.6000000000000002E-2</v>
      </c>
      <c r="D63" s="1065">
        <v>9.8000000000000004E-2</v>
      </c>
      <c r="E63" s="1065">
        <v>0.09</v>
      </c>
      <c r="F63" s="1077"/>
    </row>
    <row r="64" spans="1:6" ht="14.25" thickBot="1">
      <c r="A64" s="840" t="s">
        <v>137</v>
      </c>
      <c r="B64" s="834" t="s">
        <v>345</v>
      </c>
      <c r="C64" s="1065">
        <v>9.9000000000000005E-2</v>
      </c>
      <c r="D64" s="1065">
        <v>9.7000000000000003E-2</v>
      </c>
      <c r="E64" s="1065">
        <v>9.9000000000000005E-2</v>
      </c>
      <c r="F64" s="1077"/>
    </row>
    <row r="65" spans="1:6" ht="14.25" thickBot="1">
      <c r="A65" s="840" t="s">
        <v>137</v>
      </c>
      <c r="B65" s="834" t="s">
        <v>355</v>
      </c>
      <c r="C65" s="1065">
        <v>9.8000000000000004E-2</v>
      </c>
      <c r="D65" s="1065">
        <v>9.6000000000000002E-2</v>
      </c>
      <c r="E65" s="1065">
        <v>9.6000000000000002E-2</v>
      </c>
      <c r="F65" s="1077"/>
    </row>
    <row r="66" spans="1:6" ht="14.25" thickBot="1">
      <c r="A66" s="840" t="s">
        <v>137</v>
      </c>
      <c r="B66" s="834" t="s">
        <v>365</v>
      </c>
      <c r="C66" s="1065">
        <v>9.6000000000000002E-2</v>
      </c>
      <c r="D66" s="1065">
        <v>9.1999999999999998E-2</v>
      </c>
      <c r="E66" s="1065">
        <v>9.6000000000000002E-2</v>
      </c>
      <c r="F66" s="1077"/>
    </row>
    <row r="67" spans="1:6" ht="14.25" thickBot="1">
      <c r="A67" s="840" t="s">
        <v>137</v>
      </c>
      <c r="B67" s="834" t="s">
        <v>375</v>
      </c>
      <c r="C67" s="1065">
        <v>9.4E-2</v>
      </c>
      <c r="D67" s="1065">
        <v>0.1</v>
      </c>
      <c r="E67" s="1065">
        <v>8.7999999999999995E-2</v>
      </c>
      <c r="F67" s="1077"/>
    </row>
    <row r="68" spans="1:6" ht="14.25" thickBot="1">
      <c r="A68" s="840" t="s">
        <v>137</v>
      </c>
      <c r="B68" s="834" t="s">
        <v>384</v>
      </c>
      <c r="C68" s="1065">
        <v>0.1</v>
      </c>
      <c r="D68" s="1065">
        <v>8.7999999999999995E-2</v>
      </c>
      <c r="E68" s="1065">
        <v>9.7000000000000003E-2</v>
      </c>
      <c r="F68" s="1077"/>
    </row>
    <row r="69" spans="1:6" ht="14.25" thickBot="1">
      <c r="A69" s="840" t="s">
        <v>137</v>
      </c>
      <c r="B69" s="834" t="s">
        <v>393</v>
      </c>
      <c r="C69" s="1065">
        <v>6.4000000000000001E-2</v>
      </c>
      <c r="D69" s="1065">
        <v>0.1</v>
      </c>
      <c r="E69" s="1065">
        <v>0.1</v>
      </c>
      <c r="F69" s="1077"/>
    </row>
    <row r="70" spans="1:6" ht="14.25" thickBot="1">
      <c r="A70" s="840" t="s">
        <v>137</v>
      </c>
      <c r="B70" s="834" t="s">
        <v>401</v>
      </c>
      <c r="C70" s="1065">
        <v>9.0999999999999998E-2</v>
      </c>
      <c r="D70" s="1078"/>
      <c r="E70" s="1078"/>
      <c r="F70" s="1077"/>
    </row>
    <row r="71" spans="1:6" ht="14.25" thickBot="1">
      <c r="A71" s="840" t="s">
        <v>137</v>
      </c>
      <c r="B71" s="834" t="s">
        <v>408</v>
      </c>
      <c r="C71" s="1065">
        <v>0.1</v>
      </c>
      <c r="D71" s="1078"/>
      <c r="E71" s="1078"/>
      <c r="F71" s="1077"/>
    </row>
    <row r="72" spans="1:6" ht="14.25" thickBot="1">
      <c r="A72" s="840" t="s">
        <v>137</v>
      </c>
      <c r="B72" s="834" t="s">
        <v>885</v>
      </c>
      <c r="C72" s="1078"/>
      <c r="D72" s="1078"/>
      <c r="E72" s="1078"/>
      <c r="F72" s="1066">
        <v>0.05</v>
      </c>
    </row>
    <row r="73" spans="1:6" ht="14.25" thickBot="1">
      <c r="A73" s="840" t="s">
        <v>137</v>
      </c>
      <c r="B73" s="834" t="s">
        <v>886</v>
      </c>
      <c r="C73" s="1078"/>
      <c r="D73" s="1078"/>
      <c r="E73" s="1078"/>
      <c r="F73" s="1066">
        <v>0.05</v>
      </c>
    </row>
    <row r="74" spans="1:6" ht="14.25" thickBot="1">
      <c r="A74" s="840" t="s">
        <v>137</v>
      </c>
      <c r="B74" s="834" t="s">
        <v>887</v>
      </c>
      <c r="C74" s="1078"/>
      <c r="D74" s="1078"/>
      <c r="E74" s="1078"/>
      <c r="F74" s="1066">
        <v>0.05</v>
      </c>
    </row>
    <row r="75" spans="1:6" ht="14.25" thickBot="1">
      <c r="A75" s="850" t="s">
        <v>137</v>
      </c>
      <c r="B75" s="846" t="s">
        <v>888</v>
      </c>
      <c r="C75" s="1075"/>
      <c r="D75" s="1075"/>
      <c r="E75" s="1075"/>
      <c r="F75" s="1068">
        <v>0.05</v>
      </c>
    </row>
    <row r="76" spans="1:6" ht="14.25" thickBot="1">
      <c r="A76" s="840" t="s">
        <v>523</v>
      </c>
      <c r="B76" s="841" t="s">
        <v>889</v>
      </c>
      <c r="C76" s="1063">
        <v>0.1</v>
      </c>
      <c r="D76" s="1063">
        <v>0.1</v>
      </c>
      <c r="E76" s="1063">
        <v>0.1</v>
      </c>
      <c r="F76" s="1064">
        <v>0.1</v>
      </c>
    </row>
    <row r="77" spans="1:6" ht="14.25" thickBot="1">
      <c r="A77" s="840" t="s">
        <v>523</v>
      </c>
      <c r="B77" s="834" t="s">
        <v>191</v>
      </c>
      <c r="C77" s="1065">
        <v>8.7999999999999995E-2</v>
      </c>
      <c r="D77" s="1065">
        <v>8.6999999999999994E-2</v>
      </c>
      <c r="E77" s="1065">
        <v>7.9000000000000001E-2</v>
      </c>
      <c r="F77" s="1066">
        <v>0.1</v>
      </c>
    </row>
    <row r="78" spans="1:6" ht="14.25" thickBot="1">
      <c r="A78" s="840" t="s">
        <v>523</v>
      </c>
      <c r="B78" s="834" t="s">
        <v>204</v>
      </c>
      <c r="C78" s="1065">
        <v>8.6999999999999994E-2</v>
      </c>
      <c r="D78" s="1065">
        <v>8.4000000000000005E-2</v>
      </c>
      <c r="E78" s="1065">
        <v>9.6000000000000002E-2</v>
      </c>
      <c r="F78" s="1066">
        <v>0.1</v>
      </c>
    </row>
    <row r="79" spans="1:6" ht="14.25" thickBot="1">
      <c r="A79" s="840" t="s">
        <v>523</v>
      </c>
      <c r="B79" s="834" t="s">
        <v>217</v>
      </c>
      <c r="C79" s="1065">
        <v>9.8000000000000004E-2</v>
      </c>
      <c r="D79" s="1065">
        <v>9.8000000000000004E-2</v>
      </c>
      <c r="E79" s="1065">
        <v>9.0999999999999998E-2</v>
      </c>
      <c r="F79" s="1066">
        <v>0.1</v>
      </c>
    </row>
    <row r="80" spans="1:6" ht="14.25" thickBot="1">
      <c r="A80" s="840" t="s">
        <v>523</v>
      </c>
      <c r="B80" s="834" t="s">
        <v>229</v>
      </c>
      <c r="C80" s="1065">
        <v>9.6000000000000002E-2</v>
      </c>
      <c r="D80" s="1065">
        <v>9.6000000000000002E-2</v>
      </c>
      <c r="E80" s="1065">
        <v>0.1</v>
      </c>
      <c r="F80" s="1066">
        <v>0.1</v>
      </c>
    </row>
    <row r="81" spans="1:6" ht="14.25" thickBot="1">
      <c r="A81" s="840" t="s">
        <v>523</v>
      </c>
      <c r="B81" s="834" t="s">
        <v>240</v>
      </c>
      <c r="C81" s="1065">
        <v>9.9000000000000005E-2</v>
      </c>
      <c r="D81" s="1065">
        <v>9.9000000000000005E-2</v>
      </c>
      <c r="E81" s="1065">
        <v>9.8000000000000004E-2</v>
      </c>
      <c r="F81" s="1066">
        <v>0.1</v>
      </c>
    </row>
    <row r="82" spans="1:6" ht="14.25" thickBot="1">
      <c r="A82" s="840" t="s">
        <v>523</v>
      </c>
      <c r="B82" s="834" t="s">
        <v>251</v>
      </c>
      <c r="C82" s="1065">
        <v>9.9000000000000005E-2</v>
      </c>
      <c r="D82" s="1065">
        <v>9.9000000000000005E-2</v>
      </c>
      <c r="E82" s="1065">
        <v>9.7000000000000003E-2</v>
      </c>
      <c r="F82" s="1066">
        <v>0.1</v>
      </c>
    </row>
    <row r="83" spans="1:6" ht="14.25" thickBot="1">
      <c r="A83" s="840" t="s">
        <v>523</v>
      </c>
      <c r="B83" s="834" t="s">
        <v>262</v>
      </c>
      <c r="C83" s="1065">
        <v>9.8000000000000004E-2</v>
      </c>
      <c r="D83" s="1065">
        <v>9.8000000000000004E-2</v>
      </c>
      <c r="E83" s="1065">
        <v>9.8000000000000004E-2</v>
      </c>
      <c r="F83" s="1066">
        <v>0.1</v>
      </c>
    </row>
    <row r="84" spans="1:6" ht="14.25" thickBot="1">
      <c r="A84" s="840" t="s">
        <v>523</v>
      </c>
      <c r="B84" s="834" t="s">
        <v>274</v>
      </c>
      <c r="C84" s="1065">
        <v>9.9000000000000005E-2</v>
      </c>
      <c r="D84" s="1065">
        <v>9.9000000000000005E-2</v>
      </c>
      <c r="E84" s="1065">
        <v>9.9000000000000005E-2</v>
      </c>
      <c r="F84" s="1066">
        <v>0.1</v>
      </c>
    </row>
    <row r="85" spans="1:6" ht="14.25" thickBot="1">
      <c r="A85" s="840" t="s">
        <v>523</v>
      </c>
      <c r="B85" s="834" t="s">
        <v>284</v>
      </c>
      <c r="C85" s="1065">
        <v>9.9000000000000005E-2</v>
      </c>
      <c r="D85" s="1065">
        <v>9.9000000000000005E-2</v>
      </c>
      <c r="E85" s="1065">
        <v>9.9000000000000005E-2</v>
      </c>
      <c r="F85" s="1066">
        <v>0.1</v>
      </c>
    </row>
    <row r="86" spans="1:6" ht="14.25" thickBot="1">
      <c r="A86" s="840" t="s">
        <v>523</v>
      </c>
      <c r="B86" s="834" t="s">
        <v>294</v>
      </c>
      <c r="C86" s="1065">
        <v>0.1</v>
      </c>
      <c r="D86" s="1065">
        <v>0.1</v>
      </c>
      <c r="E86" s="1065">
        <v>7.6999999999999999E-2</v>
      </c>
      <c r="F86" s="1066">
        <v>0.1</v>
      </c>
    </row>
    <row r="87" spans="1:6" ht="14.25" thickBot="1">
      <c r="A87" s="840" t="s">
        <v>523</v>
      </c>
      <c r="B87" s="834" t="s">
        <v>304</v>
      </c>
      <c r="C87" s="1065">
        <v>0.1</v>
      </c>
      <c r="D87" s="1065">
        <v>0.1</v>
      </c>
      <c r="E87" s="1065">
        <v>9.8000000000000004E-2</v>
      </c>
      <c r="F87" s="1077"/>
    </row>
    <row r="88" spans="1:6" ht="14.25" thickBot="1">
      <c r="A88" s="840" t="s">
        <v>523</v>
      </c>
      <c r="B88" s="834" t="s">
        <v>314</v>
      </c>
      <c r="C88" s="1065">
        <v>9.1999999999999998E-2</v>
      </c>
      <c r="D88" s="1065">
        <v>8.5000000000000006E-2</v>
      </c>
      <c r="E88" s="1065">
        <v>9.6000000000000002E-2</v>
      </c>
      <c r="F88" s="1077"/>
    </row>
    <row r="89" spans="1:6" ht="14.25" thickBot="1">
      <c r="A89" s="840" t="s">
        <v>523</v>
      </c>
      <c r="B89" s="834" t="s">
        <v>325</v>
      </c>
      <c r="C89" s="1065">
        <v>0.1</v>
      </c>
      <c r="D89" s="1065">
        <v>0.1</v>
      </c>
      <c r="E89" s="1065">
        <v>9.7000000000000003E-2</v>
      </c>
      <c r="F89" s="1077"/>
    </row>
    <row r="90" spans="1:6" ht="14.25" thickBot="1">
      <c r="A90" s="840" t="s">
        <v>523</v>
      </c>
      <c r="B90" s="834" t="s">
        <v>336</v>
      </c>
      <c r="C90" s="1065">
        <v>9.8000000000000004E-2</v>
      </c>
      <c r="D90" s="1065">
        <v>9.8000000000000004E-2</v>
      </c>
      <c r="E90" s="1065">
        <v>8.7999999999999995E-2</v>
      </c>
      <c r="F90" s="1077"/>
    </row>
    <row r="91" spans="1:6" ht="14.25" thickBot="1">
      <c r="A91" s="840" t="s">
        <v>523</v>
      </c>
      <c r="B91" s="834" t="s">
        <v>346</v>
      </c>
      <c r="C91" s="1065">
        <v>9.9000000000000005E-2</v>
      </c>
      <c r="D91" s="1065">
        <v>9.9000000000000005E-2</v>
      </c>
      <c r="E91" s="1065">
        <v>9.0999999999999998E-2</v>
      </c>
      <c r="F91" s="1077"/>
    </row>
    <row r="92" spans="1:6" ht="14.25" thickBot="1">
      <c r="A92" s="840" t="s">
        <v>523</v>
      </c>
      <c r="B92" s="834" t="s">
        <v>356</v>
      </c>
      <c r="C92" s="1065">
        <v>9.6000000000000002E-2</v>
      </c>
      <c r="D92" s="1065">
        <v>9.6000000000000002E-2</v>
      </c>
      <c r="E92" s="1065">
        <v>7.2999999999999995E-2</v>
      </c>
      <c r="F92" s="1077"/>
    </row>
    <row r="93" spans="1:6" ht="14.25" thickBot="1">
      <c r="A93" s="840" t="s">
        <v>523</v>
      </c>
      <c r="B93" s="834" t="s">
        <v>366</v>
      </c>
      <c r="C93" s="1065">
        <v>9.6000000000000002E-2</v>
      </c>
      <c r="D93" s="1065">
        <v>9.6000000000000002E-2</v>
      </c>
      <c r="E93" s="1065">
        <v>9.9000000000000005E-2</v>
      </c>
      <c r="F93" s="1077"/>
    </row>
    <row r="94" spans="1:6" ht="14.25" thickBot="1">
      <c r="A94" s="840" t="s">
        <v>523</v>
      </c>
      <c r="B94" s="834" t="s">
        <v>376</v>
      </c>
      <c r="C94" s="1065">
        <v>7.5999999999999998E-2</v>
      </c>
      <c r="D94" s="1065">
        <v>7.3999999999999996E-2</v>
      </c>
      <c r="E94" s="1065">
        <v>9.7000000000000003E-2</v>
      </c>
      <c r="F94" s="1077"/>
    </row>
    <row r="95" spans="1:6" ht="14.25" thickBot="1">
      <c r="A95" s="840" t="s">
        <v>523</v>
      </c>
      <c r="B95" s="834" t="s">
        <v>385</v>
      </c>
      <c r="C95" s="1065">
        <v>9.9000000000000005E-2</v>
      </c>
      <c r="D95" s="1065">
        <v>9.4E-2</v>
      </c>
      <c r="E95" s="1065">
        <v>9.6000000000000002E-2</v>
      </c>
      <c r="F95" s="1077"/>
    </row>
    <row r="96" spans="1:6" ht="14.25" thickBot="1">
      <c r="A96" s="840" t="s">
        <v>523</v>
      </c>
      <c r="B96" s="834" t="s">
        <v>394</v>
      </c>
      <c r="C96" s="1065">
        <v>9.9000000000000005E-2</v>
      </c>
      <c r="D96" s="1065">
        <v>9.9000000000000005E-2</v>
      </c>
      <c r="E96" s="1065">
        <v>9.9000000000000005E-2</v>
      </c>
      <c r="F96" s="1077"/>
    </row>
    <row r="97" spans="1:6" ht="14.25" thickBot="1">
      <c r="A97" s="840" t="s">
        <v>523</v>
      </c>
      <c r="B97" s="834" t="s">
        <v>402</v>
      </c>
      <c r="C97" s="1065">
        <v>9.8000000000000004E-2</v>
      </c>
      <c r="D97" s="1065">
        <v>9.8000000000000004E-2</v>
      </c>
      <c r="E97" s="1065">
        <v>9.7000000000000003E-2</v>
      </c>
      <c r="F97" s="1077"/>
    </row>
    <row r="98" spans="1:6" ht="14.25" thickBot="1">
      <c r="A98" s="840" t="s">
        <v>523</v>
      </c>
      <c r="B98" s="834" t="s">
        <v>409</v>
      </c>
      <c r="C98" s="1065">
        <v>0.1</v>
      </c>
      <c r="D98" s="1065">
        <v>0.1</v>
      </c>
      <c r="E98" s="1065">
        <v>9.7000000000000003E-2</v>
      </c>
      <c r="F98" s="1077"/>
    </row>
    <row r="99" spans="1:6" ht="14.25" thickBot="1">
      <c r="A99" s="840" t="s">
        <v>523</v>
      </c>
      <c r="B99" s="834" t="s">
        <v>416</v>
      </c>
      <c r="C99" s="1065">
        <v>0.1</v>
      </c>
      <c r="D99" s="1065">
        <v>0.1</v>
      </c>
      <c r="E99" s="1078"/>
      <c r="F99" s="1077"/>
    </row>
    <row r="100" spans="1:6" ht="14.25" thickBot="1">
      <c r="A100" s="840" t="s">
        <v>523</v>
      </c>
      <c r="B100" s="834" t="s">
        <v>423</v>
      </c>
      <c r="C100" s="1065">
        <v>0.09</v>
      </c>
      <c r="D100" s="1065">
        <v>8.8999999999999996E-2</v>
      </c>
      <c r="E100" s="1078"/>
      <c r="F100" s="1077"/>
    </row>
    <row r="101" spans="1:6" ht="14.25" thickBot="1">
      <c r="A101" s="840" t="s">
        <v>523</v>
      </c>
      <c r="B101" s="834" t="s">
        <v>430</v>
      </c>
      <c r="C101" s="1065">
        <v>9.8000000000000004E-2</v>
      </c>
      <c r="D101" s="1065">
        <v>9.7000000000000003E-2</v>
      </c>
      <c r="E101" s="1078"/>
      <c r="F101" s="1077"/>
    </row>
    <row r="102" spans="1:6" ht="14.25" thickBot="1">
      <c r="A102" s="840" t="s">
        <v>523</v>
      </c>
      <c r="B102" s="834" t="s">
        <v>890</v>
      </c>
      <c r="C102" s="1078"/>
      <c r="D102" s="1078"/>
      <c r="E102" s="1078"/>
      <c r="F102" s="1066">
        <v>0.05</v>
      </c>
    </row>
    <row r="103" spans="1:6" ht="24.75" thickBot="1">
      <c r="A103" s="840" t="s">
        <v>523</v>
      </c>
      <c r="B103" s="834" t="s">
        <v>891</v>
      </c>
      <c r="C103" s="1078"/>
      <c r="D103" s="1078"/>
      <c r="E103" s="1078"/>
      <c r="F103" s="1066">
        <v>0.05</v>
      </c>
    </row>
    <row r="104" spans="1:6" ht="14.25" thickBot="1">
      <c r="A104" s="840" t="s">
        <v>523</v>
      </c>
      <c r="B104" s="834" t="s">
        <v>892</v>
      </c>
      <c r="C104" s="1078"/>
      <c r="D104" s="1078"/>
      <c r="E104" s="1078"/>
      <c r="F104" s="1066">
        <v>0.05</v>
      </c>
    </row>
    <row r="105" spans="1:6" ht="14.25" thickBot="1">
      <c r="A105" s="840" t="s">
        <v>523</v>
      </c>
      <c r="B105" s="834" t="s">
        <v>893</v>
      </c>
      <c r="C105" s="1078"/>
      <c r="D105" s="1078"/>
      <c r="E105" s="1078"/>
      <c r="F105" s="1066">
        <v>0.05</v>
      </c>
    </row>
    <row r="106" spans="1:6" ht="14.25" thickBot="1">
      <c r="A106" s="840" t="s">
        <v>523</v>
      </c>
      <c r="B106" s="834" t="s">
        <v>894</v>
      </c>
      <c r="C106" s="1078"/>
      <c r="D106" s="1078"/>
      <c r="E106" s="1078"/>
      <c r="F106" s="1066">
        <v>0.05</v>
      </c>
    </row>
    <row r="107" spans="1:6" ht="24.75" thickBot="1">
      <c r="A107" s="840" t="s">
        <v>523</v>
      </c>
      <c r="B107" s="834" t="s">
        <v>895</v>
      </c>
      <c r="C107" s="1078"/>
      <c r="D107" s="1078"/>
      <c r="E107" s="1078"/>
      <c r="F107" s="1066">
        <v>0.05</v>
      </c>
    </row>
    <row r="108" spans="1:6" ht="24.75" thickBot="1">
      <c r="A108" s="840" t="s">
        <v>523</v>
      </c>
      <c r="B108" s="834" t="s">
        <v>896</v>
      </c>
      <c r="C108" s="1078"/>
      <c r="D108" s="1078"/>
      <c r="E108" s="1078"/>
      <c r="F108" s="1066">
        <v>0.05</v>
      </c>
    </row>
    <row r="109" spans="1:6" ht="24.75" thickBot="1">
      <c r="A109" s="850" t="s">
        <v>523</v>
      </c>
      <c r="B109" s="846" t="s">
        <v>897</v>
      </c>
      <c r="C109" s="1075"/>
      <c r="D109" s="1075"/>
      <c r="E109" s="1075"/>
      <c r="F109" s="1068">
        <v>0.05</v>
      </c>
    </row>
    <row r="110" spans="1:6" ht="14.25" thickBot="1">
      <c r="A110" s="840" t="s">
        <v>56</v>
      </c>
      <c r="B110" s="841" t="s">
        <v>898</v>
      </c>
      <c r="C110" s="1063">
        <v>0.129</v>
      </c>
      <c r="D110" s="1063">
        <v>0.129</v>
      </c>
      <c r="E110" s="1063">
        <v>0.126</v>
      </c>
      <c r="F110" s="1064">
        <v>0.13</v>
      </c>
    </row>
    <row r="111" spans="1:6" ht="14.25" thickBot="1">
      <c r="A111" s="840" t="s">
        <v>56</v>
      </c>
      <c r="B111" s="834" t="s">
        <v>192</v>
      </c>
      <c r="C111" s="1065">
        <v>0.11</v>
      </c>
      <c r="D111" s="1065">
        <v>0.11</v>
      </c>
      <c r="E111" s="1065">
        <v>9.9000000000000005E-2</v>
      </c>
      <c r="F111" s="1066">
        <v>0.128</v>
      </c>
    </row>
    <row r="112" spans="1:6" ht="14.25" thickBot="1">
      <c r="A112" s="840" t="s">
        <v>56</v>
      </c>
      <c r="B112" s="834" t="s">
        <v>205</v>
      </c>
      <c r="C112" s="1065">
        <v>0.125</v>
      </c>
      <c r="D112" s="1065">
        <v>0.125</v>
      </c>
      <c r="E112" s="1065">
        <v>0.12</v>
      </c>
      <c r="F112" s="1066">
        <v>0.125</v>
      </c>
    </row>
    <row r="113" spans="1:6" ht="14.25" thickBot="1">
      <c r="A113" s="840" t="s">
        <v>56</v>
      </c>
      <c r="B113" s="834" t="s">
        <v>218</v>
      </c>
      <c r="C113" s="1065">
        <v>0.13</v>
      </c>
      <c r="D113" s="1065">
        <v>0.13</v>
      </c>
      <c r="E113" s="1065">
        <v>0.13</v>
      </c>
      <c r="F113" s="1066">
        <v>0.13</v>
      </c>
    </row>
    <row r="114" spans="1:6" ht="14.25" thickBot="1">
      <c r="A114" s="840" t="s">
        <v>56</v>
      </c>
      <c r="B114" s="834" t="s">
        <v>230</v>
      </c>
      <c r="C114" s="1065">
        <v>0.123</v>
      </c>
      <c r="D114" s="1065">
        <v>0.123</v>
      </c>
      <c r="E114" s="1065">
        <v>0.12</v>
      </c>
      <c r="F114" s="1066">
        <v>0.13</v>
      </c>
    </row>
    <row r="115" spans="1:6" ht="14.25" thickBot="1">
      <c r="A115" s="840" t="s">
        <v>56</v>
      </c>
      <c r="B115" s="834" t="s">
        <v>241</v>
      </c>
      <c r="C115" s="1065">
        <v>0.125</v>
      </c>
      <c r="D115" s="1065">
        <v>0.125</v>
      </c>
      <c r="E115" s="1065">
        <v>0.11700000000000001</v>
      </c>
      <c r="F115" s="1066">
        <v>0.13</v>
      </c>
    </row>
    <row r="116" spans="1:6" ht="14.25" thickBot="1">
      <c r="A116" s="840" t="s">
        <v>56</v>
      </c>
      <c r="B116" s="834" t="s">
        <v>252</v>
      </c>
      <c r="C116" s="1065">
        <v>0.11700000000000001</v>
      </c>
      <c r="D116" s="1065">
        <v>0.11700000000000001</v>
      </c>
      <c r="E116" s="1065">
        <v>8.7999999999999995E-2</v>
      </c>
      <c r="F116" s="1066">
        <v>0.13</v>
      </c>
    </row>
    <row r="117" spans="1:6" ht="14.25" thickBot="1">
      <c r="A117" s="840" t="s">
        <v>56</v>
      </c>
      <c r="B117" s="834" t="s">
        <v>263</v>
      </c>
      <c r="C117" s="1065">
        <v>0.13</v>
      </c>
      <c r="D117" s="1065">
        <v>0.13</v>
      </c>
      <c r="E117" s="1065">
        <v>0.129</v>
      </c>
      <c r="F117" s="1066">
        <v>0.13</v>
      </c>
    </row>
    <row r="118" spans="1:6" ht="14.25" thickBot="1">
      <c r="A118" s="840" t="s">
        <v>56</v>
      </c>
      <c r="B118" s="834" t="s">
        <v>275</v>
      </c>
      <c r="C118" s="1065">
        <v>0.123</v>
      </c>
      <c r="D118" s="1065">
        <v>0.123</v>
      </c>
      <c r="E118" s="1065">
        <v>0.11600000000000001</v>
      </c>
      <c r="F118" s="1066">
        <v>0.13</v>
      </c>
    </row>
    <row r="119" spans="1:6" ht="14.25" thickBot="1">
      <c r="A119" s="840" t="s">
        <v>56</v>
      </c>
      <c r="B119" s="834" t="s">
        <v>285</v>
      </c>
      <c r="C119" s="1065">
        <v>0.127</v>
      </c>
      <c r="D119" s="1065">
        <v>0.127</v>
      </c>
      <c r="E119" s="1065">
        <v>0.124</v>
      </c>
      <c r="F119" s="1066">
        <v>0.13</v>
      </c>
    </row>
    <row r="120" spans="1:6" ht="14.25" thickBot="1">
      <c r="A120" s="840" t="s">
        <v>56</v>
      </c>
      <c r="B120" s="834" t="s">
        <v>295</v>
      </c>
      <c r="C120" s="1065">
        <v>0.125</v>
      </c>
      <c r="D120" s="1065">
        <v>0.125</v>
      </c>
      <c r="E120" s="1065">
        <v>0.122</v>
      </c>
      <c r="F120" s="1066">
        <v>0.13</v>
      </c>
    </row>
    <row r="121" spans="1:6" ht="14.25" thickBot="1">
      <c r="A121" s="840" t="s">
        <v>56</v>
      </c>
      <c r="B121" s="834" t="s">
        <v>305</v>
      </c>
      <c r="C121" s="1065">
        <v>0.13</v>
      </c>
      <c r="D121" s="1065">
        <v>0.13</v>
      </c>
      <c r="E121" s="1065">
        <v>0.13</v>
      </c>
      <c r="F121" s="1066">
        <v>0.13</v>
      </c>
    </row>
    <row r="122" spans="1:6" ht="14.25" thickBot="1">
      <c r="A122" s="840" t="s">
        <v>56</v>
      </c>
      <c r="B122" s="834" t="s">
        <v>315</v>
      </c>
      <c r="C122" s="1065">
        <v>0.13</v>
      </c>
      <c r="D122" s="1065">
        <v>0.13</v>
      </c>
      <c r="E122" s="1065">
        <v>0.125</v>
      </c>
      <c r="F122" s="1066">
        <v>0.13</v>
      </c>
    </row>
    <row r="123" spans="1:6" ht="14.25" thickBot="1">
      <c r="A123" s="840" t="s">
        <v>56</v>
      </c>
      <c r="B123" s="834" t="s">
        <v>326</v>
      </c>
      <c r="C123" s="1065">
        <v>0.129</v>
      </c>
      <c r="D123" s="1065">
        <v>0.129</v>
      </c>
      <c r="E123" s="1065">
        <v>0.123</v>
      </c>
      <c r="F123" s="1066">
        <v>0.13</v>
      </c>
    </row>
    <row r="124" spans="1:6" ht="14.25" thickBot="1">
      <c r="A124" s="840" t="s">
        <v>56</v>
      </c>
      <c r="B124" s="834" t="s">
        <v>337</v>
      </c>
      <c r="C124" s="1065">
        <v>0.10199999999999999</v>
      </c>
      <c r="D124" s="1065">
        <v>0.10100000000000001</v>
      </c>
      <c r="E124" s="1065">
        <v>0.08</v>
      </c>
      <c r="F124" s="1077"/>
    </row>
    <row r="125" spans="1:6" ht="14.25" thickBot="1">
      <c r="A125" s="840" t="s">
        <v>56</v>
      </c>
      <c r="B125" s="834" t="s">
        <v>347</v>
      </c>
      <c r="C125" s="1065">
        <v>0.13</v>
      </c>
      <c r="D125" s="1065">
        <v>0.13</v>
      </c>
      <c r="E125" s="1065">
        <v>0.129</v>
      </c>
      <c r="F125" s="1077"/>
    </row>
    <row r="126" spans="1:6" ht="14.25" thickBot="1">
      <c r="A126" s="840" t="s">
        <v>56</v>
      </c>
      <c r="B126" s="834" t="s">
        <v>357</v>
      </c>
      <c r="C126" s="1065">
        <v>0.13</v>
      </c>
      <c r="D126" s="1065">
        <v>0.13</v>
      </c>
      <c r="E126" s="1065">
        <v>0.126</v>
      </c>
      <c r="F126" s="1077"/>
    </row>
    <row r="127" spans="1:6" ht="14.25" thickBot="1">
      <c r="A127" s="840" t="s">
        <v>56</v>
      </c>
      <c r="B127" s="834" t="s">
        <v>367</v>
      </c>
      <c r="C127" s="1065">
        <v>0.125</v>
      </c>
      <c r="D127" s="1065">
        <v>0.125</v>
      </c>
      <c r="E127" s="1065">
        <v>0.121</v>
      </c>
      <c r="F127" s="1077"/>
    </row>
    <row r="128" spans="1:6" ht="14.25" thickBot="1">
      <c r="A128" s="840" t="s">
        <v>56</v>
      </c>
      <c r="B128" s="834" t="s">
        <v>377</v>
      </c>
      <c r="C128" s="1065">
        <v>0.12</v>
      </c>
      <c r="D128" s="1065">
        <v>0.12</v>
      </c>
      <c r="E128" s="1065">
        <v>0.105</v>
      </c>
      <c r="F128" s="1077"/>
    </row>
    <row r="129" spans="1:6" ht="14.25" thickBot="1">
      <c r="A129" s="840" t="s">
        <v>56</v>
      </c>
      <c r="B129" s="834" t="s">
        <v>386</v>
      </c>
      <c r="C129" s="1065">
        <v>0.13</v>
      </c>
      <c r="D129" s="1065">
        <v>0.13</v>
      </c>
      <c r="E129" s="1065">
        <v>0.126</v>
      </c>
      <c r="F129" s="1077"/>
    </row>
    <row r="130" spans="1:6" ht="14.25" thickBot="1">
      <c r="A130" s="840" t="s">
        <v>56</v>
      </c>
      <c r="B130" s="834" t="s">
        <v>395</v>
      </c>
      <c r="C130" s="1065">
        <v>0.125</v>
      </c>
      <c r="D130" s="1065">
        <v>0.125</v>
      </c>
      <c r="E130" s="1065">
        <v>0.122</v>
      </c>
      <c r="F130" s="1077"/>
    </row>
    <row r="131" spans="1:6" ht="14.25" thickBot="1">
      <c r="A131" s="840" t="s">
        <v>56</v>
      </c>
      <c r="B131" s="834" t="s">
        <v>403</v>
      </c>
      <c r="C131" s="1065">
        <v>0.127</v>
      </c>
      <c r="D131" s="1065">
        <v>0.126</v>
      </c>
      <c r="E131" s="1065">
        <v>0.123</v>
      </c>
      <c r="F131" s="1077"/>
    </row>
    <row r="132" spans="1:6" ht="14.25" thickBot="1">
      <c r="A132" s="840" t="s">
        <v>56</v>
      </c>
      <c r="B132" s="834" t="s">
        <v>410</v>
      </c>
      <c r="C132" s="1065">
        <v>9.0999999999999998E-2</v>
      </c>
      <c r="D132" s="1065">
        <v>0.121</v>
      </c>
      <c r="E132" s="1065">
        <v>9.9000000000000005E-2</v>
      </c>
      <c r="F132" s="1077"/>
    </row>
    <row r="133" spans="1:6" ht="14.25" thickBot="1">
      <c r="A133" s="840" t="s">
        <v>56</v>
      </c>
      <c r="B133" s="834" t="s">
        <v>417</v>
      </c>
      <c r="C133" s="1065">
        <v>0.13</v>
      </c>
      <c r="D133" s="1065">
        <v>0.13</v>
      </c>
      <c r="E133" s="1065">
        <v>0.129</v>
      </c>
      <c r="F133" s="1077"/>
    </row>
    <row r="134" spans="1:6" ht="14.25" thickBot="1">
      <c r="A134" s="840" t="s">
        <v>56</v>
      </c>
      <c r="B134" s="834" t="s">
        <v>899</v>
      </c>
      <c r="C134" s="1065">
        <v>6.8000000000000005E-2</v>
      </c>
      <c r="D134" s="1065">
        <v>6.5000000000000002E-2</v>
      </c>
      <c r="E134" s="1065">
        <v>6.5000000000000002E-2</v>
      </c>
      <c r="F134" s="1066">
        <v>0.13</v>
      </c>
    </row>
    <row r="135" spans="1:6" ht="14.25" thickBot="1">
      <c r="A135" s="840" t="s">
        <v>56</v>
      </c>
      <c r="B135" s="834" t="s">
        <v>431</v>
      </c>
      <c r="C135" s="1065">
        <v>0.123</v>
      </c>
      <c r="D135" s="1065">
        <v>0.123</v>
      </c>
      <c r="E135" s="1065">
        <v>0.11</v>
      </c>
      <c r="F135" s="1077"/>
    </row>
    <row r="136" spans="1:6" ht="14.25" thickBot="1">
      <c r="A136" s="840" t="s">
        <v>56</v>
      </c>
      <c r="B136" s="834" t="s">
        <v>438</v>
      </c>
      <c r="C136" s="1065">
        <v>0.13</v>
      </c>
      <c r="D136" s="1065">
        <v>0.13</v>
      </c>
      <c r="E136" s="1065">
        <v>0.125</v>
      </c>
      <c r="F136" s="1077"/>
    </row>
    <row r="137" spans="1:6" ht="14.25" thickBot="1">
      <c r="A137" s="840" t="s">
        <v>56</v>
      </c>
      <c r="B137" s="834" t="s">
        <v>445</v>
      </c>
      <c r="C137" s="1065">
        <v>0.121</v>
      </c>
      <c r="D137" s="1065">
        <v>0.122</v>
      </c>
      <c r="E137" s="1065">
        <v>0.115</v>
      </c>
      <c r="F137" s="1077"/>
    </row>
    <row r="138" spans="1:6" ht="14.25" thickBot="1">
      <c r="A138" s="840" t="s">
        <v>56</v>
      </c>
      <c r="B138" s="834" t="s">
        <v>900</v>
      </c>
      <c r="C138" s="1065">
        <v>0.105</v>
      </c>
      <c r="D138" s="1065">
        <v>0.125</v>
      </c>
      <c r="E138" s="1065">
        <v>0.112</v>
      </c>
      <c r="F138" s="1077"/>
    </row>
    <row r="139" spans="1:6" ht="14.25" thickBot="1">
      <c r="A139" s="840" t="s">
        <v>56</v>
      </c>
      <c r="B139" s="834" t="s">
        <v>901</v>
      </c>
      <c r="C139" s="1065">
        <v>0.127</v>
      </c>
      <c r="D139" s="1065">
        <v>0.127</v>
      </c>
      <c r="E139" s="1065">
        <v>0.122</v>
      </c>
      <c r="F139" s="1066">
        <v>0.13</v>
      </c>
    </row>
    <row r="140" spans="1:6" ht="14.25" thickBot="1">
      <c r="A140" s="840" t="s">
        <v>56</v>
      </c>
      <c r="B140" s="834" t="s">
        <v>902</v>
      </c>
      <c r="C140" s="1065">
        <v>0.125</v>
      </c>
      <c r="D140" s="1065">
        <v>0.125</v>
      </c>
      <c r="E140" s="1065">
        <v>0.11899999999999999</v>
      </c>
      <c r="F140" s="1066">
        <v>0.13</v>
      </c>
    </row>
    <row r="141" spans="1:6" ht="14.25" thickBot="1">
      <c r="A141" s="840" t="s">
        <v>56</v>
      </c>
      <c r="B141" s="834" t="s">
        <v>464</v>
      </c>
      <c r="C141" s="1065">
        <v>0.125</v>
      </c>
      <c r="D141" s="1065">
        <v>0.125</v>
      </c>
      <c r="E141" s="1065">
        <v>0.11700000000000001</v>
      </c>
      <c r="F141" s="1077"/>
    </row>
    <row r="142" spans="1:6" ht="14.25" thickBot="1">
      <c r="A142" s="840" t="s">
        <v>56</v>
      </c>
      <c r="B142" s="834" t="s">
        <v>469</v>
      </c>
      <c r="C142" s="1065">
        <v>0.125</v>
      </c>
      <c r="D142" s="1065">
        <v>0.125</v>
      </c>
      <c r="E142" s="1065">
        <v>0.115</v>
      </c>
      <c r="F142" s="1077"/>
    </row>
    <row r="143" spans="1:6" ht="14.25" thickBot="1">
      <c r="A143" s="840" t="s">
        <v>56</v>
      </c>
      <c r="B143" s="834" t="s">
        <v>474</v>
      </c>
      <c r="C143" s="1065">
        <v>0.121</v>
      </c>
      <c r="D143" s="1065">
        <v>0.121</v>
      </c>
      <c r="E143" s="1065">
        <v>0.108</v>
      </c>
      <c r="F143" s="1077"/>
    </row>
    <row r="144" spans="1:6" ht="14.25" thickBot="1">
      <c r="A144" s="840" t="s">
        <v>56</v>
      </c>
      <c r="B144" s="1069" t="s">
        <v>903</v>
      </c>
      <c r="C144" s="1070">
        <v>0.126</v>
      </c>
      <c r="D144" s="1070">
        <v>0.126</v>
      </c>
      <c r="E144" s="1070">
        <v>0.121</v>
      </c>
      <c r="F144" s="1077"/>
    </row>
    <row r="145" spans="1:6" ht="14.25" thickBot="1">
      <c r="A145" s="850" t="s">
        <v>56</v>
      </c>
      <c r="B145" s="1071" t="s">
        <v>904</v>
      </c>
      <c r="C145" s="1079"/>
      <c r="D145" s="1079"/>
      <c r="E145" s="1079"/>
      <c r="F145" s="1072">
        <v>0.05</v>
      </c>
    </row>
    <row r="146" spans="1:6" ht="24.75" thickBot="1">
      <c r="A146" s="1073" t="s">
        <v>56</v>
      </c>
      <c r="B146" s="844" t="s">
        <v>905</v>
      </c>
      <c r="C146" s="1078"/>
      <c r="D146" s="1078"/>
      <c r="E146" s="1078"/>
      <c r="F146" s="1074">
        <v>0.05</v>
      </c>
    </row>
    <row r="147" spans="1:6" ht="24.75" thickBot="1">
      <c r="A147" s="840" t="s">
        <v>56</v>
      </c>
      <c r="B147" s="834" t="s">
        <v>906</v>
      </c>
      <c r="C147" s="1078"/>
      <c r="D147" s="1078"/>
      <c r="E147" s="1078"/>
      <c r="F147" s="1066">
        <v>0.05</v>
      </c>
    </row>
    <row r="148" spans="1:6" ht="24.75" thickBot="1">
      <c r="A148" s="840" t="s">
        <v>56</v>
      </c>
      <c r="B148" s="834" t="s">
        <v>907</v>
      </c>
      <c r="C148" s="1078"/>
      <c r="D148" s="1078"/>
      <c r="E148" s="1078"/>
      <c r="F148" s="1066">
        <v>0.05</v>
      </c>
    </row>
    <row r="149" spans="1:6" ht="24.75" thickBot="1">
      <c r="A149" s="840" t="s">
        <v>56</v>
      </c>
      <c r="B149" s="834" t="s">
        <v>908</v>
      </c>
      <c r="C149" s="1078"/>
      <c r="D149" s="1078"/>
      <c r="E149" s="1078"/>
      <c r="F149" s="1066">
        <v>0.05</v>
      </c>
    </row>
    <row r="150" spans="1:6" ht="24.75" thickBot="1">
      <c r="A150" s="840" t="s">
        <v>56</v>
      </c>
      <c r="B150" s="834" t="s">
        <v>909</v>
      </c>
      <c r="C150" s="1078"/>
      <c r="D150" s="1078"/>
      <c r="E150" s="1078"/>
      <c r="F150" s="1066">
        <v>0.05</v>
      </c>
    </row>
    <row r="151" spans="1:6" ht="24.75" thickBot="1">
      <c r="A151" s="840" t="s">
        <v>56</v>
      </c>
      <c r="B151" s="834" t="s">
        <v>910</v>
      </c>
      <c r="C151" s="1078"/>
      <c r="D151" s="1078"/>
      <c r="E151" s="1078"/>
      <c r="F151" s="1066">
        <v>0.05</v>
      </c>
    </row>
    <row r="152" spans="1:6" ht="24.75" thickBot="1">
      <c r="A152" s="840" t="s">
        <v>56</v>
      </c>
      <c r="B152" s="834" t="s">
        <v>507</v>
      </c>
      <c r="C152" s="1078"/>
      <c r="D152" s="1078"/>
      <c r="E152" s="1078"/>
      <c r="F152" s="1066">
        <v>0.05</v>
      </c>
    </row>
    <row r="153" spans="1:6" ht="14.25" thickBot="1">
      <c r="A153" s="840" t="s">
        <v>56</v>
      </c>
      <c r="B153" s="834" t="s">
        <v>911</v>
      </c>
      <c r="C153" s="1078"/>
      <c r="D153" s="1078"/>
      <c r="E153" s="1078"/>
      <c r="F153" s="1066">
        <v>0.05</v>
      </c>
    </row>
    <row r="154" spans="1:6" ht="14.25" thickBot="1">
      <c r="A154" s="840" t="s">
        <v>56</v>
      </c>
      <c r="B154" s="834" t="s">
        <v>912</v>
      </c>
      <c r="C154" s="1078"/>
      <c r="D154" s="1078"/>
      <c r="E154" s="1078"/>
      <c r="F154" s="1066">
        <v>0.05</v>
      </c>
    </row>
    <row r="155" spans="1:6" ht="24.75" thickBot="1">
      <c r="A155" s="840" t="s">
        <v>56</v>
      </c>
      <c r="B155" s="834" t="s">
        <v>913</v>
      </c>
      <c r="C155" s="1078"/>
      <c r="D155" s="1078"/>
      <c r="E155" s="1078"/>
      <c r="F155" s="1066">
        <v>0.05</v>
      </c>
    </row>
    <row r="156" spans="1:6" ht="24.75" thickBot="1">
      <c r="A156" s="840" t="s">
        <v>56</v>
      </c>
      <c r="B156" s="834" t="s">
        <v>914</v>
      </c>
      <c r="C156" s="1078"/>
      <c r="D156" s="1078"/>
      <c r="E156" s="1078"/>
      <c r="F156" s="1066">
        <v>0.05</v>
      </c>
    </row>
    <row r="157" spans="1:6" ht="14.25" thickBot="1">
      <c r="A157" s="850" t="s">
        <v>56</v>
      </c>
      <c r="B157" s="846" t="s">
        <v>915</v>
      </c>
      <c r="C157" s="1075"/>
      <c r="D157" s="1075"/>
      <c r="E157" s="1075"/>
      <c r="F157" s="1068">
        <v>0.05</v>
      </c>
    </row>
    <row r="158" spans="1:6" ht="14.25" thickBot="1">
      <c r="A158" s="840" t="s">
        <v>526</v>
      </c>
      <c r="B158" s="841" t="s">
        <v>916</v>
      </c>
      <c r="C158" s="1063">
        <v>0.13</v>
      </c>
      <c r="D158" s="1063">
        <v>0.13</v>
      </c>
      <c r="E158" s="1063">
        <v>0.13</v>
      </c>
      <c r="F158" s="1064">
        <v>0.13</v>
      </c>
    </row>
    <row r="159" spans="1:6" ht="14.25" thickBot="1">
      <c r="A159" s="840" t="s">
        <v>526</v>
      </c>
      <c r="B159" s="834" t="s">
        <v>193</v>
      </c>
      <c r="C159" s="1065">
        <v>0.13</v>
      </c>
      <c r="D159" s="1065">
        <v>0.13</v>
      </c>
      <c r="E159" s="1065">
        <v>0.13</v>
      </c>
      <c r="F159" s="1066">
        <v>0.13</v>
      </c>
    </row>
    <row r="160" spans="1:6" ht="14.25" thickBot="1">
      <c r="A160" s="840" t="s">
        <v>526</v>
      </c>
      <c r="B160" s="834" t="s">
        <v>206</v>
      </c>
      <c r="C160" s="1065">
        <v>0.13</v>
      </c>
      <c r="D160" s="1065">
        <v>0.13</v>
      </c>
      <c r="E160" s="1065">
        <v>0.129</v>
      </c>
      <c r="F160" s="1066">
        <v>0.13</v>
      </c>
    </row>
    <row r="161" spans="1:6" ht="14.25" thickBot="1">
      <c r="A161" s="840" t="s">
        <v>526</v>
      </c>
      <c r="B161" s="834" t="s">
        <v>219</v>
      </c>
      <c r="C161" s="1065">
        <v>0.128</v>
      </c>
      <c r="D161" s="1065">
        <v>0.128</v>
      </c>
      <c r="E161" s="1065">
        <v>0.125</v>
      </c>
      <c r="F161" s="1066">
        <v>0.13</v>
      </c>
    </row>
    <row r="162" spans="1:6" ht="14.25" thickBot="1">
      <c r="A162" s="840" t="s">
        <v>526</v>
      </c>
      <c r="B162" s="834" t="s">
        <v>231</v>
      </c>
      <c r="C162" s="1065">
        <v>0.122</v>
      </c>
      <c r="D162" s="1065">
        <v>0.122</v>
      </c>
      <c r="E162" s="1065">
        <v>0.126</v>
      </c>
      <c r="F162" s="1066">
        <v>0.122</v>
      </c>
    </row>
    <row r="163" spans="1:6" ht="14.25" thickBot="1">
      <c r="A163" s="840" t="s">
        <v>526</v>
      </c>
      <c r="B163" s="834" t="s">
        <v>242</v>
      </c>
      <c r="C163" s="1065">
        <v>0.13</v>
      </c>
      <c r="D163" s="1065">
        <v>0.13</v>
      </c>
      <c r="E163" s="1065">
        <v>0.125</v>
      </c>
      <c r="F163" s="1066">
        <v>0.13</v>
      </c>
    </row>
    <row r="164" spans="1:6" ht="14.25" thickBot="1">
      <c r="A164" s="840" t="s">
        <v>526</v>
      </c>
      <c r="B164" s="834" t="s">
        <v>253</v>
      </c>
      <c r="C164" s="1065">
        <v>0.13</v>
      </c>
      <c r="D164" s="1065">
        <v>0.13</v>
      </c>
      <c r="E164" s="1065">
        <v>0.13</v>
      </c>
      <c r="F164" s="1066">
        <v>0.13</v>
      </c>
    </row>
    <row r="165" spans="1:6" ht="14.25" thickBot="1">
      <c r="A165" s="840" t="s">
        <v>526</v>
      </c>
      <c r="B165" s="834" t="s">
        <v>264</v>
      </c>
      <c r="C165" s="1065">
        <v>0.13</v>
      </c>
      <c r="D165" s="1065">
        <v>0.13</v>
      </c>
      <c r="E165" s="1065">
        <v>0.124</v>
      </c>
      <c r="F165" s="1066">
        <v>0.13</v>
      </c>
    </row>
    <row r="166" spans="1:6" ht="14.25" thickBot="1">
      <c r="A166" s="840" t="s">
        <v>526</v>
      </c>
      <c r="B166" s="834" t="s">
        <v>276</v>
      </c>
      <c r="C166" s="1065">
        <v>0.13</v>
      </c>
      <c r="D166" s="1065">
        <v>0.13</v>
      </c>
      <c r="E166" s="1065">
        <v>0.13</v>
      </c>
      <c r="F166" s="1066">
        <v>0.13</v>
      </c>
    </row>
    <row r="167" spans="1:6" ht="14.25" thickBot="1">
      <c r="A167" s="840" t="s">
        <v>526</v>
      </c>
      <c r="B167" s="834" t="s">
        <v>286</v>
      </c>
      <c r="C167" s="1065">
        <v>0.125</v>
      </c>
      <c r="D167" s="1065">
        <v>0.125</v>
      </c>
      <c r="E167" s="1065">
        <v>0.121</v>
      </c>
      <c r="F167" s="1077"/>
    </row>
    <row r="168" spans="1:6" ht="14.25" thickBot="1">
      <c r="A168" s="840" t="s">
        <v>526</v>
      </c>
      <c r="B168" s="834" t="s">
        <v>296</v>
      </c>
      <c r="C168" s="1065">
        <v>0.13</v>
      </c>
      <c r="D168" s="1065">
        <v>0.13</v>
      </c>
      <c r="E168" s="1065">
        <v>0.126</v>
      </c>
      <c r="F168" s="1077"/>
    </row>
    <row r="169" spans="1:6" ht="14.25" thickBot="1">
      <c r="A169" s="840" t="s">
        <v>526</v>
      </c>
      <c r="B169" s="834" t="s">
        <v>306</v>
      </c>
      <c r="C169" s="1065">
        <v>0.128</v>
      </c>
      <c r="D169" s="1065">
        <v>0.129</v>
      </c>
      <c r="E169" s="1065">
        <v>0.13</v>
      </c>
      <c r="F169" s="1077"/>
    </row>
    <row r="170" spans="1:6" ht="14.25" thickBot="1">
      <c r="A170" s="840" t="s">
        <v>526</v>
      </c>
      <c r="B170" s="834" t="s">
        <v>316</v>
      </c>
      <c r="C170" s="1065">
        <v>0.14099999999999999</v>
      </c>
      <c r="D170" s="1065">
        <v>0.13</v>
      </c>
      <c r="E170" s="1065">
        <v>0.125</v>
      </c>
      <c r="F170" s="1077"/>
    </row>
    <row r="171" spans="1:6" ht="14.25" thickBot="1">
      <c r="A171" s="840" t="s">
        <v>526</v>
      </c>
      <c r="B171" s="834" t="s">
        <v>917</v>
      </c>
      <c r="C171" s="1065">
        <v>0.127</v>
      </c>
      <c r="D171" s="1065">
        <v>0.126</v>
      </c>
      <c r="E171" s="1065">
        <v>0.126</v>
      </c>
      <c r="F171" s="1066">
        <v>0.11799999999999999</v>
      </c>
    </row>
    <row r="172" spans="1:6" ht="14.25" thickBot="1">
      <c r="A172" s="840" t="s">
        <v>526</v>
      </c>
      <c r="B172" s="834" t="s">
        <v>918</v>
      </c>
      <c r="C172" s="1065">
        <v>0.13</v>
      </c>
      <c r="D172" s="1065">
        <v>0.13</v>
      </c>
      <c r="E172" s="1065">
        <v>0.13</v>
      </c>
      <c r="F172" s="1077"/>
    </row>
    <row r="173" spans="1:6" ht="14.25" thickBot="1">
      <c r="A173" s="840" t="s">
        <v>526</v>
      </c>
      <c r="B173" s="834" t="s">
        <v>348</v>
      </c>
      <c r="C173" s="1065">
        <v>0.13</v>
      </c>
      <c r="D173" s="1065">
        <v>0.13</v>
      </c>
      <c r="E173" s="1065">
        <v>0.13</v>
      </c>
      <c r="F173" s="1077"/>
    </row>
    <row r="174" spans="1:6" ht="14.25" thickBot="1">
      <c r="A174" s="840" t="s">
        <v>526</v>
      </c>
      <c r="B174" s="834" t="s">
        <v>919</v>
      </c>
      <c r="C174" s="1065">
        <v>0.13</v>
      </c>
      <c r="D174" s="1065">
        <v>0.13</v>
      </c>
      <c r="E174" s="1065">
        <v>0.13</v>
      </c>
      <c r="F174" s="1066">
        <v>0.13</v>
      </c>
    </row>
    <row r="175" spans="1:6" ht="14.25" thickBot="1">
      <c r="A175" s="840" t="s">
        <v>526</v>
      </c>
      <c r="B175" s="834" t="s">
        <v>920</v>
      </c>
      <c r="C175" s="1065">
        <v>0.13</v>
      </c>
      <c r="D175" s="1065">
        <v>0.13</v>
      </c>
      <c r="E175" s="1065">
        <v>0.13</v>
      </c>
      <c r="F175" s="1066">
        <v>0.13</v>
      </c>
    </row>
    <row r="176" spans="1:6" ht="14.25" thickBot="1">
      <c r="A176" s="840" t="s">
        <v>526</v>
      </c>
      <c r="B176" s="834" t="s">
        <v>378</v>
      </c>
      <c r="C176" s="1065">
        <v>0.13</v>
      </c>
      <c r="D176" s="1065">
        <v>0.13</v>
      </c>
      <c r="E176" s="1065">
        <v>0.13</v>
      </c>
      <c r="F176" s="1066">
        <v>0.13</v>
      </c>
    </row>
    <row r="177" spans="1:6" ht="14.25" thickBot="1">
      <c r="A177" s="840" t="s">
        <v>526</v>
      </c>
      <c r="B177" s="834" t="s">
        <v>921</v>
      </c>
      <c r="C177" s="1065">
        <v>0.13</v>
      </c>
      <c r="D177" s="1065">
        <v>0.13</v>
      </c>
      <c r="E177" s="1065">
        <v>0.13</v>
      </c>
      <c r="F177" s="1066">
        <v>0.13</v>
      </c>
    </row>
    <row r="178" spans="1:6" ht="14.25" thickBot="1">
      <c r="A178" s="840" t="s">
        <v>526</v>
      </c>
      <c r="B178" s="834" t="s">
        <v>396</v>
      </c>
      <c r="C178" s="1065">
        <v>0.13</v>
      </c>
      <c r="D178" s="1065">
        <v>0.13</v>
      </c>
      <c r="E178" s="1065">
        <v>0.13</v>
      </c>
      <c r="F178" s="1066">
        <v>0.127</v>
      </c>
    </row>
    <row r="179" spans="1:6" ht="14.25" thickBot="1">
      <c r="A179" s="840" t="s">
        <v>526</v>
      </c>
      <c r="B179" s="834" t="s">
        <v>404</v>
      </c>
      <c r="C179" s="1065">
        <v>0.13</v>
      </c>
      <c r="D179" s="1065">
        <v>0.13</v>
      </c>
      <c r="E179" s="1065">
        <v>0.13</v>
      </c>
      <c r="F179" s="1077"/>
    </row>
    <row r="180" spans="1:6" ht="14.25" thickBot="1">
      <c r="A180" s="840" t="s">
        <v>526</v>
      </c>
      <c r="B180" s="834" t="s">
        <v>922</v>
      </c>
      <c r="C180" s="1065">
        <v>0.13</v>
      </c>
      <c r="D180" s="1065">
        <v>0.13</v>
      </c>
      <c r="E180" s="1065">
        <v>0.125</v>
      </c>
      <c r="F180" s="1066">
        <v>0.13</v>
      </c>
    </row>
    <row r="181" spans="1:6" ht="14.25" thickBot="1">
      <c r="A181" s="840" t="s">
        <v>526</v>
      </c>
      <c r="B181" s="834" t="s">
        <v>418</v>
      </c>
      <c r="C181" s="1065">
        <v>0.122</v>
      </c>
      <c r="D181" s="1065">
        <v>0.123</v>
      </c>
      <c r="E181" s="1065">
        <v>0.126</v>
      </c>
      <c r="F181" s="1066">
        <v>0.121</v>
      </c>
    </row>
    <row r="182" spans="1:6" ht="14.25" thickBot="1">
      <c r="A182" s="840" t="s">
        <v>526</v>
      </c>
      <c r="B182" s="834" t="s">
        <v>425</v>
      </c>
      <c r="C182" s="1065">
        <v>0.125</v>
      </c>
      <c r="D182" s="1065">
        <v>0.125</v>
      </c>
      <c r="E182" s="1065">
        <v>0.11700000000000001</v>
      </c>
      <c r="F182" s="1066">
        <v>0.13</v>
      </c>
    </row>
    <row r="183" spans="1:6" ht="14.25" thickBot="1">
      <c r="A183" s="840" t="s">
        <v>526</v>
      </c>
      <c r="B183" s="834" t="s">
        <v>432</v>
      </c>
      <c r="C183" s="1065">
        <v>0.127</v>
      </c>
      <c r="D183" s="1065">
        <v>0.127</v>
      </c>
      <c r="E183" s="1065">
        <v>0.128</v>
      </c>
      <c r="F183" s="1077"/>
    </row>
    <row r="184" spans="1:6" ht="14.25" thickBot="1">
      <c r="A184" s="840" t="s">
        <v>526</v>
      </c>
      <c r="B184" s="834" t="s">
        <v>439</v>
      </c>
      <c r="C184" s="1065">
        <v>0.125</v>
      </c>
      <c r="D184" s="1065">
        <v>0.125</v>
      </c>
      <c r="E184" s="1065">
        <v>0.127</v>
      </c>
      <c r="F184" s="1077"/>
    </row>
    <row r="185" spans="1:6" ht="14.25" thickBot="1">
      <c r="A185" s="840" t="s">
        <v>526</v>
      </c>
      <c r="B185" s="834" t="s">
        <v>923</v>
      </c>
      <c r="C185" s="1065">
        <v>0.127</v>
      </c>
      <c r="D185" s="1065">
        <v>0.127</v>
      </c>
      <c r="E185" s="1065">
        <v>0.128</v>
      </c>
      <c r="F185" s="1066">
        <v>0.13</v>
      </c>
    </row>
    <row r="186" spans="1:6" ht="24.75" thickBot="1">
      <c r="A186" s="840" t="s">
        <v>526</v>
      </c>
      <c r="B186" s="834" t="s">
        <v>924</v>
      </c>
      <c r="C186" s="1078"/>
      <c r="D186" s="1078"/>
      <c r="E186" s="1078"/>
      <c r="F186" s="1066">
        <v>0.05</v>
      </c>
    </row>
    <row r="187" spans="1:6" ht="14.25" thickBot="1">
      <c r="A187" s="840" t="s">
        <v>526</v>
      </c>
      <c r="B187" s="834" t="s">
        <v>925</v>
      </c>
      <c r="C187" s="1078"/>
      <c r="D187" s="1078"/>
      <c r="E187" s="1078"/>
      <c r="F187" s="1066">
        <v>0.05</v>
      </c>
    </row>
    <row r="188" spans="1:6" ht="14.25" thickBot="1">
      <c r="A188" s="840" t="s">
        <v>526</v>
      </c>
      <c r="B188" s="834" t="s">
        <v>926</v>
      </c>
      <c r="C188" s="1078"/>
      <c r="D188" s="1078"/>
      <c r="E188" s="1078"/>
      <c r="F188" s="1066">
        <v>0.05</v>
      </c>
    </row>
    <row r="189" spans="1:6" ht="24.75" thickBot="1">
      <c r="A189" s="840" t="s">
        <v>526</v>
      </c>
      <c r="B189" s="834" t="s">
        <v>927</v>
      </c>
      <c r="C189" s="1078"/>
      <c r="D189" s="1078"/>
      <c r="E189" s="1078"/>
      <c r="F189" s="1066">
        <v>0.05</v>
      </c>
    </row>
    <row r="190" spans="1:6" ht="24.75" thickBot="1">
      <c r="A190" s="840" t="s">
        <v>526</v>
      </c>
      <c r="B190" s="834" t="s">
        <v>928</v>
      </c>
      <c r="C190" s="1078"/>
      <c r="D190" s="1078"/>
      <c r="E190" s="1078"/>
      <c r="F190" s="1066">
        <v>0.05</v>
      </c>
    </row>
    <row r="191" spans="1:6" ht="24.75" thickBot="1">
      <c r="A191" s="840" t="s">
        <v>526</v>
      </c>
      <c r="B191" s="834" t="s">
        <v>929</v>
      </c>
      <c r="C191" s="1078"/>
      <c r="D191" s="1078"/>
      <c r="E191" s="1078"/>
      <c r="F191" s="1066">
        <v>0.05</v>
      </c>
    </row>
    <row r="192" spans="1:6" ht="24.75" thickBot="1">
      <c r="A192" s="840" t="s">
        <v>526</v>
      </c>
      <c r="B192" s="834" t="s">
        <v>930</v>
      </c>
      <c r="C192" s="1078"/>
      <c r="D192" s="1078"/>
      <c r="E192" s="1078"/>
      <c r="F192" s="1066">
        <v>0.05</v>
      </c>
    </row>
    <row r="193" spans="1:6" ht="24.75" thickBot="1">
      <c r="A193" s="840" t="s">
        <v>526</v>
      </c>
      <c r="B193" s="834" t="s">
        <v>931</v>
      </c>
      <c r="C193" s="1078"/>
      <c r="D193" s="1078"/>
      <c r="E193" s="1078"/>
      <c r="F193" s="1066">
        <v>0.05</v>
      </c>
    </row>
    <row r="194" spans="1:6" ht="24.75" thickBot="1">
      <c r="A194" s="840" t="s">
        <v>526</v>
      </c>
      <c r="B194" s="834" t="s">
        <v>932</v>
      </c>
      <c r="C194" s="1078"/>
      <c r="D194" s="1078"/>
      <c r="E194" s="1078"/>
      <c r="F194" s="1066">
        <v>0.05</v>
      </c>
    </row>
    <row r="195" spans="1:6" ht="14.25" thickBot="1">
      <c r="A195" s="840" t="s">
        <v>526</v>
      </c>
      <c r="B195" s="834" t="s">
        <v>933</v>
      </c>
      <c r="C195" s="1078"/>
      <c r="D195" s="1078"/>
      <c r="E195" s="1078"/>
      <c r="F195" s="1066">
        <v>0.05</v>
      </c>
    </row>
    <row r="196" spans="1:6" ht="24.75" thickBot="1">
      <c r="A196" s="840" t="s">
        <v>526</v>
      </c>
      <c r="B196" s="834" t="s">
        <v>934</v>
      </c>
      <c r="C196" s="1078"/>
      <c r="D196" s="1078"/>
      <c r="E196" s="1078"/>
      <c r="F196" s="1066">
        <v>0.05</v>
      </c>
    </row>
    <row r="197" spans="1:6" ht="24.75" thickBot="1">
      <c r="A197" s="840" t="s">
        <v>526</v>
      </c>
      <c r="B197" s="834" t="s">
        <v>935</v>
      </c>
      <c r="C197" s="1078"/>
      <c r="D197" s="1078"/>
      <c r="E197" s="1078"/>
      <c r="F197" s="1066">
        <v>0.05</v>
      </c>
    </row>
    <row r="198" spans="1:6" ht="24.75" thickBot="1">
      <c r="A198" s="840" t="s">
        <v>526</v>
      </c>
      <c r="B198" s="834" t="s">
        <v>936</v>
      </c>
      <c r="C198" s="1078"/>
      <c r="D198" s="1078"/>
      <c r="E198" s="1078"/>
      <c r="F198" s="1066">
        <v>0.05</v>
      </c>
    </row>
    <row r="199" spans="1:6" ht="24.75" thickBot="1">
      <c r="A199" s="840" t="s">
        <v>526</v>
      </c>
      <c r="B199" s="834" t="s">
        <v>937</v>
      </c>
      <c r="C199" s="1078"/>
      <c r="D199" s="1078"/>
      <c r="E199" s="1078"/>
      <c r="F199" s="1066">
        <v>0.05</v>
      </c>
    </row>
    <row r="200" spans="1:6" ht="24.75" thickBot="1">
      <c r="A200" s="840" t="s">
        <v>526</v>
      </c>
      <c r="B200" s="834" t="s">
        <v>938</v>
      </c>
      <c r="C200" s="1078"/>
      <c r="D200" s="1078"/>
      <c r="E200" s="1078"/>
      <c r="F200" s="1066">
        <v>0.05</v>
      </c>
    </row>
    <row r="201" spans="1:6" ht="24.75" thickBot="1">
      <c r="A201" s="840" t="s">
        <v>526</v>
      </c>
      <c r="B201" s="834" t="s">
        <v>939</v>
      </c>
      <c r="C201" s="1078"/>
      <c r="D201" s="1078"/>
      <c r="E201" s="1078"/>
      <c r="F201" s="1066">
        <v>0.05</v>
      </c>
    </row>
    <row r="202" spans="1:6" ht="24.75" thickBot="1">
      <c r="A202" s="840" t="s">
        <v>526</v>
      </c>
      <c r="B202" s="834" t="s">
        <v>940</v>
      </c>
      <c r="C202" s="1078"/>
      <c r="D202" s="1078"/>
      <c r="E202" s="1078"/>
      <c r="F202" s="1066">
        <v>0.05</v>
      </c>
    </row>
    <row r="203" spans="1:6" ht="24.75" thickBot="1">
      <c r="A203" s="840" t="s">
        <v>526</v>
      </c>
      <c r="B203" s="834" t="s">
        <v>941</v>
      </c>
      <c r="C203" s="1078"/>
      <c r="D203" s="1078"/>
      <c r="E203" s="1078"/>
      <c r="F203" s="1066">
        <v>0.05</v>
      </c>
    </row>
    <row r="204" spans="1:6" ht="14.25" thickBot="1">
      <c r="A204" s="840" t="s">
        <v>526</v>
      </c>
      <c r="B204" s="834" t="s">
        <v>942</v>
      </c>
      <c r="C204" s="1078"/>
      <c r="D204" s="1078"/>
      <c r="E204" s="1078"/>
      <c r="F204" s="1066">
        <v>0.05</v>
      </c>
    </row>
    <row r="205" spans="1:6" ht="14.25" thickBot="1">
      <c r="A205" s="850" t="s">
        <v>526</v>
      </c>
      <c r="B205" s="846" t="s">
        <v>943</v>
      </c>
      <c r="C205" s="1075"/>
      <c r="D205" s="1075"/>
      <c r="E205" s="1075"/>
      <c r="F205" s="1068">
        <v>0.05</v>
      </c>
    </row>
    <row r="206" spans="1:6" ht="14.25" thickBot="1">
      <c r="A206" s="840" t="s">
        <v>528</v>
      </c>
      <c r="B206" s="841" t="s">
        <v>944</v>
      </c>
      <c r="C206" s="1063">
        <v>0.15</v>
      </c>
      <c r="D206" s="1063">
        <v>0.15</v>
      </c>
      <c r="E206" s="1063">
        <v>0.15</v>
      </c>
      <c r="F206" s="1064">
        <v>0.15</v>
      </c>
    </row>
    <row r="207" spans="1:6" ht="14.25" thickBot="1">
      <c r="A207" s="840" t="s">
        <v>528</v>
      </c>
      <c r="B207" s="834" t="s">
        <v>194</v>
      </c>
      <c r="C207" s="1065">
        <v>0.15</v>
      </c>
      <c r="D207" s="1065">
        <v>0.15</v>
      </c>
      <c r="E207" s="1065">
        <v>0.15</v>
      </c>
      <c r="F207" s="1066">
        <v>0.14399999999999999</v>
      </c>
    </row>
    <row r="208" spans="1:6" ht="14.25" thickBot="1">
      <c r="A208" s="840" t="s">
        <v>528</v>
      </c>
      <c r="B208" s="834" t="s">
        <v>207</v>
      </c>
      <c r="C208" s="1065">
        <v>0.15</v>
      </c>
      <c r="D208" s="1065">
        <v>0.15</v>
      </c>
      <c r="E208" s="1065">
        <v>0.15</v>
      </c>
      <c r="F208" s="1066">
        <v>0.15</v>
      </c>
    </row>
    <row r="209" spans="1:6" ht="14.25" thickBot="1">
      <c r="A209" s="840" t="s">
        <v>528</v>
      </c>
      <c r="B209" s="834" t="s">
        <v>220</v>
      </c>
      <c r="C209" s="1065">
        <v>0.13700000000000001</v>
      </c>
      <c r="D209" s="1065">
        <v>0.13700000000000001</v>
      </c>
      <c r="E209" s="1065">
        <v>0.14000000000000001</v>
      </c>
      <c r="F209" s="1066">
        <v>0.11700000000000001</v>
      </c>
    </row>
    <row r="210" spans="1:6" ht="14.25" thickBot="1">
      <c r="A210" s="840" t="s">
        <v>528</v>
      </c>
      <c r="B210" s="834" t="s">
        <v>945</v>
      </c>
      <c r="C210" s="1065">
        <v>0.15</v>
      </c>
      <c r="D210" s="1065">
        <v>0.15</v>
      </c>
      <c r="E210" s="1065">
        <v>0.15</v>
      </c>
      <c r="F210" s="1066">
        <v>0.13800000000000001</v>
      </c>
    </row>
    <row r="211" spans="1:6" ht="14.25" thickBot="1">
      <c r="A211" s="840" t="s">
        <v>528</v>
      </c>
      <c r="B211" s="834" t="s">
        <v>946</v>
      </c>
      <c r="C211" s="1065">
        <v>0.13700000000000001</v>
      </c>
      <c r="D211" s="1065">
        <v>0.13500000000000001</v>
      </c>
      <c r="E211" s="1065">
        <v>0.13600000000000001</v>
      </c>
      <c r="F211" s="1066">
        <v>0.1</v>
      </c>
    </row>
    <row r="212" spans="1:6" ht="14.25" thickBot="1">
      <c r="A212" s="840" t="s">
        <v>528</v>
      </c>
      <c r="B212" s="834" t="s">
        <v>947</v>
      </c>
      <c r="C212" s="1065">
        <v>0.15</v>
      </c>
      <c r="D212" s="1065">
        <v>0.15</v>
      </c>
      <c r="E212" s="1065">
        <v>0.14799999999999999</v>
      </c>
      <c r="F212" s="1066">
        <v>0.13600000000000001</v>
      </c>
    </row>
    <row r="213" spans="1:6" ht="14.25" thickBot="1">
      <c r="A213" s="840" t="s">
        <v>528</v>
      </c>
      <c r="B213" s="834" t="s">
        <v>265</v>
      </c>
      <c r="C213" s="1065">
        <v>0.15</v>
      </c>
      <c r="D213" s="1065">
        <v>0.15</v>
      </c>
      <c r="E213" s="1065">
        <v>0.15</v>
      </c>
      <c r="F213" s="1066">
        <v>0.13800000000000001</v>
      </c>
    </row>
    <row r="214" spans="1:6" ht="14.25" thickBot="1">
      <c r="A214" s="840" t="s">
        <v>528</v>
      </c>
      <c r="B214" s="834" t="s">
        <v>277</v>
      </c>
      <c r="C214" s="1065">
        <v>9.0999999999999998E-2</v>
      </c>
      <c r="D214" s="1065">
        <v>0.09</v>
      </c>
      <c r="E214" s="1065">
        <v>9.1999999999999998E-2</v>
      </c>
      <c r="F214" s="1077"/>
    </row>
    <row r="215" spans="1:6" ht="14.25" thickBot="1">
      <c r="A215" s="840" t="s">
        <v>528</v>
      </c>
      <c r="B215" s="834" t="s">
        <v>948</v>
      </c>
      <c r="C215" s="1065">
        <v>0.15</v>
      </c>
      <c r="D215" s="1065">
        <v>0.15</v>
      </c>
      <c r="E215" s="1065">
        <v>0.15</v>
      </c>
      <c r="F215" s="1066">
        <v>0.15</v>
      </c>
    </row>
    <row r="216" spans="1:6" ht="14.25" thickBot="1">
      <c r="A216" s="840" t="s">
        <v>528</v>
      </c>
      <c r="B216" s="834" t="s">
        <v>297</v>
      </c>
      <c r="C216" s="1065">
        <v>0.14699999999999999</v>
      </c>
      <c r="D216" s="1065">
        <v>0.14699999999999999</v>
      </c>
      <c r="E216" s="1065">
        <v>0.15</v>
      </c>
      <c r="F216" s="1066">
        <v>0.14000000000000001</v>
      </c>
    </row>
    <row r="217" spans="1:6" ht="14.25" thickBot="1">
      <c r="A217" s="840" t="s">
        <v>528</v>
      </c>
      <c r="B217" s="834" t="s">
        <v>307</v>
      </c>
      <c r="C217" s="1065">
        <v>0.15</v>
      </c>
      <c r="D217" s="1065">
        <v>0.15</v>
      </c>
      <c r="E217" s="1065">
        <v>0.15</v>
      </c>
      <c r="F217" s="1066">
        <v>0.15</v>
      </c>
    </row>
    <row r="218" spans="1:6" ht="14.25" thickBot="1">
      <c r="A218" s="840" t="s">
        <v>528</v>
      </c>
      <c r="B218" s="834" t="s">
        <v>949</v>
      </c>
      <c r="C218" s="1065">
        <v>0.15</v>
      </c>
      <c r="D218" s="1065">
        <v>0.15</v>
      </c>
      <c r="E218" s="1065">
        <v>0.15</v>
      </c>
      <c r="F218" s="1066">
        <v>0.15</v>
      </c>
    </row>
    <row r="219" spans="1:6" ht="14.25" thickBot="1">
      <c r="A219" s="840" t="s">
        <v>528</v>
      </c>
      <c r="B219" s="834" t="s">
        <v>328</v>
      </c>
      <c r="C219" s="1065">
        <v>0.15</v>
      </c>
      <c r="D219" s="1065">
        <v>0.15</v>
      </c>
      <c r="E219" s="1065">
        <v>0.15</v>
      </c>
      <c r="F219" s="1066">
        <v>0.14799999999999999</v>
      </c>
    </row>
    <row r="220" spans="1:6" ht="14.25" thickBot="1">
      <c r="A220" s="840" t="s">
        <v>528</v>
      </c>
      <c r="B220" s="834" t="s">
        <v>950</v>
      </c>
      <c r="C220" s="1065">
        <v>0.15</v>
      </c>
      <c r="D220" s="1065">
        <v>0.15</v>
      </c>
      <c r="E220" s="1065">
        <v>0.15</v>
      </c>
      <c r="F220" s="1066">
        <v>0.15</v>
      </c>
    </row>
    <row r="221" spans="1:6" ht="14.25" thickBot="1">
      <c r="A221" s="840" t="s">
        <v>528</v>
      </c>
      <c r="B221" s="834" t="s">
        <v>349</v>
      </c>
      <c r="C221" s="1065"/>
      <c r="D221" s="1078"/>
      <c r="E221" s="1078"/>
      <c r="F221" s="1066">
        <v>0.14799999999999999</v>
      </c>
    </row>
    <row r="222" spans="1:6" ht="14.25" thickBot="1">
      <c r="A222" s="840" t="s">
        <v>528</v>
      </c>
      <c r="B222" s="834" t="s">
        <v>359</v>
      </c>
      <c r="C222" s="1065"/>
      <c r="D222" s="1078"/>
      <c r="E222" s="1078"/>
      <c r="F222" s="1066">
        <v>0.1</v>
      </c>
    </row>
    <row r="223" spans="1:6" ht="14.25" thickBot="1">
      <c r="A223" s="840" t="s">
        <v>528</v>
      </c>
      <c r="B223" s="834" t="s">
        <v>369</v>
      </c>
      <c r="C223" s="1065"/>
      <c r="D223" s="1078"/>
      <c r="E223" s="1078"/>
      <c r="F223" s="1066">
        <v>0.15</v>
      </c>
    </row>
    <row r="224" spans="1:6" ht="14.25" thickBot="1">
      <c r="A224" s="840" t="s">
        <v>528</v>
      </c>
      <c r="B224" s="834" t="s">
        <v>379</v>
      </c>
      <c r="C224" s="1065"/>
      <c r="D224" s="1078"/>
      <c r="E224" s="1078"/>
      <c r="F224" s="1066">
        <v>0.15</v>
      </c>
    </row>
    <row r="225" spans="1:6" ht="14.25" thickBot="1">
      <c r="A225" s="840" t="s">
        <v>528</v>
      </c>
      <c r="B225" s="834" t="s">
        <v>951</v>
      </c>
      <c r="C225" s="1065">
        <v>0.15</v>
      </c>
      <c r="D225" s="1065">
        <v>0.15</v>
      </c>
      <c r="E225" s="1065">
        <v>0.15</v>
      </c>
      <c r="F225" s="1066">
        <v>0.15</v>
      </c>
    </row>
    <row r="226" spans="1:6" ht="14.25" thickBot="1">
      <c r="A226" s="840" t="s">
        <v>528</v>
      </c>
      <c r="B226" s="834" t="s">
        <v>397</v>
      </c>
      <c r="C226" s="1065">
        <v>0.15</v>
      </c>
      <c r="D226" s="1065">
        <v>0.15</v>
      </c>
      <c r="E226" s="1065">
        <v>0.15</v>
      </c>
      <c r="F226" s="1066">
        <v>0.14799999999999999</v>
      </c>
    </row>
    <row r="227" spans="1:6" ht="14.25" thickBot="1">
      <c r="A227" s="840" t="s">
        <v>528</v>
      </c>
      <c r="B227" s="834" t="s">
        <v>952</v>
      </c>
      <c r="C227" s="1065">
        <v>0.15</v>
      </c>
      <c r="D227" s="1065">
        <v>0.15</v>
      </c>
      <c r="E227" s="1065">
        <v>0.15</v>
      </c>
      <c r="F227" s="1066">
        <v>0.15</v>
      </c>
    </row>
    <row r="228" spans="1:6" ht="14.25" thickBot="1">
      <c r="A228" s="840" t="s">
        <v>528</v>
      </c>
      <c r="B228" s="834" t="s">
        <v>412</v>
      </c>
      <c r="C228" s="1065">
        <v>0.15</v>
      </c>
      <c r="D228" s="1065">
        <v>0.15</v>
      </c>
      <c r="E228" s="1065">
        <v>0.15</v>
      </c>
      <c r="F228" s="1066">
        <v>0.15</v>
      </c>
    </row>
    <row r="229" spans="1:6" ht="14.25" thickBot="1">
      <c r="A229" s="840" t="s">
        <v>528</v>
      </c>
      <c r="B229" s="834" t="s">
        <v>419</v>
      </c>
      <c r="C229" s="1065">
        <v>0.15</v>
      </c>
      <c r="D229" s="1065">
        <v>0.15</v>
      </c>
      <c r="E229" s="1065">
        <v>0.15</v>
      </c>
      <c r="F229" s="1077"/>
    </row>
    <row r="230" spans="1:6" ht="14.25" thickBot="1">
      <c r="A230" s="840" t="s">
        <v>528</v>
      </c>
      <c r="B230" s="834" t="s">
        <v>426</v>
      </c>
      <c r="C230" s="1065">
        <v>0.14499999999999999</v>
      </c>
      <c r="D230" s="1065">
        <v>0.14499999999999999</v>
      </c>
      <c r="E230" s="1065">
        <v>0.14399999999999999</v>
      </c>
      <c r="F230" s="1077"/>
    </row>
    <row r="231" spans="1:6" ht="14.25" thickBot="1">
      <c r="A231" s="840" t="s">
        <v>528</v>
      </c>
      <c r="B231" s="834" t="s">
        <v>953</v>
      </c>
      <c r="C231" s="1065">
        <v>0.128</v>
      </c>
      <c r="D231" s="1065">
        <v>0.125</v>
      </c>
      <c r="E231" s="1065">
        <v>0.13200000000000001</v>
      </c>
      <c r="F231" s="1077"/>
    </row>
    <row r="232" spans="1:6" ht="14.25" thickBot="1">
      <c r="A232" s="840" t="s">
        <v>528</v>
      </c>
      <c r="B232" s="834" t="s">
        <v>954</v>
      </c>
      <c r="C232" s="1065">
        <v>0.14499999999999999</v>
      </c>
      <c r="D232" s="1065">
        <v>0.14399999999999999</v>
      </c>
      <c r="E232" s="1065">
        <v>0.14599999999999999</v>
      </c>
      <c r="F232" s="1066">
        <v>0.13800000000000001</v>
      </c>
    </row>
    <row r="233" spans="1:6" ht="14.25" thickBot="1">
      <c r="A233" s="840" t="s">
        <v>528</v>
      </c>
      <c r="B233" s="834" t="s">
        <v>955</v>
      </c>
      <c r="C233" s="1065">
        <v>0.14499999999999999</v>
      </c>
      <c r="D233" s="1065">
        <v>0.14299999999999999</v>
      </c>
      <c r="E233" s="1065">
        <v>0.14199999999999999</v>
      </c>
      <c r="F233" s="1077"/>
    </row>
    <row r="234" spans="1:6" ht="14.25" thickBot="1">
      <c r="A234" s="840" t="s">
        <v>528</v>
      </c>
      <c r="B234" s="834" t="s">
        <v>956</v>
      </c>
      <c r="C234" s="1065">
        <v>0.14000000000000001</v>
      </c>
      <c r="D234" s="1065">
        <v>0.14000000000000001</v>
      </c>
      <c r="E234" s="1065">
        <v>0.14399999999999999</v>
      </c>
      <c r="F234" s="1077"/>
    </row>
    <row r="235" spans="1:6" ht="14.25" thickBot="1">
      <c r="A235" s="840" t="s">
        <v>528</v>
      </c>
      <c r="B235" s="834" t="s">
        <v>957</v>
      </c>
      <c r="C235" s="1065">
        <v>0.14099999999999999</v>
      </c>
      <c r="D235" s="1065">
        <v>0.14199999999999999</v>
      </c>
      <c r="E235" s="1065">
        <v>0.14499999999999999</v>
      </c>
      <c r="F235" s="1066">
        <v>0.15</v>
      </c>
    </row>
    <row r="236" spans="1:6" ht="14.25" thickBot="1">
      <c r="A236" s="840" t="s">
        <v>528</v>
      </c>
      <c r="B236" s="834" t="s">
        <v>461</v>
      </c>
      <c r="C236" s="1078"/>
      <c r="D236" s="1078"/>
      <c r="E236" s="1078"/>
      <c r="F236" s="1066">
        <v>0.14299999999999999</v>
      </c>
    </row>
    <row r="237" spans="1:6" ht="24.75" thickBot="1">
      <c r="A237" s="840" t="s">
        <v>528</v>
      </c>
      <c r="B237" s="834" t="s">
        <v>958</v>
      </c>
      <c r="C237" s="1078"/>
      <c r="D237" s="1078"/>
      <c r="E237" s="1078"/>
      <c r="F237" s="1066">
        <v>0.05</v>
      </c>
    </row>
    <row r="238" spans="1:6" ht="24.75" thickBot="1">
      <c r="A238" s="840" t="s">
        <v>528</v>
      </c>
      <c r="B238" s="834" t="s">
        <v>959</v>
      </c>
      <c r="C238" s="1078"/>
      <c r="D238" s="1078"/>
      <c r="E238" s="1078"/>
      <c r="F238" s="1066">
        <v>0.05</v>
      </c>
    </row>
    <row r="239" spans="1:6" ht="24.75" thickBot="1">
      <c r="A239" s="840" t="s">
        <v>528</v>
      </c>
      <c r="B239" s="834" t="s">
        <v>960</v>
      </c>
      <c r="C239" s="1078"/>
      <c r="D239" s="1078"/>
      <c r="E239" s="1078"/>
      <c r="F239" s="1066">
        <v>0.05</v>
      </c>
    </row>
    <row r="240" spans="1:6" ht="24.75" thickBot="1">
      <c r="A240" s="840" t="s">
        <v>528</v>
      </c>
      <c r="B240" s="834" t="s">
        <v>961</v>
      </c>
      <c r="C240" s="1078"/>
      <c r="D240" s="1078"/>
      <c r="E240" s="1078"/>
      <c r="F240" s="1066">
        <v>0.05</v>
      </c>
    </row>
    <row r="241" spans="1:6" ht="24.75" thickBot="1">
      <c r="A241" s="840" t="s">
        <v>528</v>
      </c>
      <c r="B241" s="834" t="s">
        <v>962</v>
      </c>
      <c r="C241" s="1078"/>
      <c r="D241" s="1078"/>
      <c r="E241" s="1078"/>
      <c r="F241" s="1066">
        <v>0.05</v>
      </c>
    </row>
    <row r="242" spans="1:6" ht="24.75" thickBot="1">
      <c r="A242" s="840" t="s">
        <v>528</v>
      </c>
      <c r="B242" s="834" t="s">
        <v>963</v>
      </c>
      <c r="C242" s="1078"/>
      <c r="D242" s="1078"/>
      <c r="E242" s="1078"/>
      <c r="F242" s="1066">
        <v>0.05</v>
      </c>
    </row>
    <row r="243" spans="1:6" ht="24.75" thickBot="1">
      <c r="A243" s="840" t="s">
        <v>528</v>
      </c>
      <c r="B243" s="834" t="s">
        <v>964</v>
      </c>
      <c r="C243" s="1078"/>
      <c r="D243" s="1078"/>
      <c r="E243" s="1078"/>
      <c r="F243" s="1066">
        <v>0.05</v>
      </c>
    </row>
    <row r="244" spans="1:6" ht="24.75" thickBot="1">
      <c r="A244" s="850" t="s">
        <v>528</v>
      </c>
      <c r="B244" s="846" t="s">
        <v>965</v>
      </c>
      <c r="C244" s="1075"/>
      <c r="D244" s="1075"/>
      <c r="E244" s="1075"/>
      <c r="F244" s="1068">
        <v>0.05</v>
      </c>
    </row>
    <row r="245" spans="1:6" ht="14.25" thickBot="1">
      <c r="A245" s="840" t="s">
        <v>530</v>
      </c>
      <c r="B245" s="841" t="s">
        <v>966</v>
      </c>
      <c r="C245" s="1063">
        <v>0.15</v>
      </c>
      <c r="D245" s="1063">
        <v>0.15</v>
      </c>
      <c r="E245" s="1063">
        <v>0.15</v>
      </c>
      <c r="F245" s="1064">
        <v>0.14299999999999999</v>
      </c>
    </row>
    <row r="246" spans="1:6" ht="14.25" thickBot="1">
      <c r="A246" s="840" t="s">
        <v>530</v>
      </c>
      <c r="B246" s="834" t="s">
        <v>195</v>
      </c>
      <c r="C246" s="1065">
        <v>0.15</v>
      </c>
      <c r="D246" s="1065">
        <v>0.15</v>
      </c>
      <c r="E246" s="1065">
        <v>0.15</v>
      </c>
      <c r="F246" s="1066">
        <v>0.114</v>
      </c>
    </row>
    <row r="247" spans="1:6" ht="14.25" thickBot="1">
      <c r="A247" s="840" t="s">
        <v>530</v>
      </c>
      <c r="B247" s="834" t="s">
        <v>967</v>
      </c>
      <c r="C247" s="1065">
        <v>0.15</v>
      </c>
      <c r="D247" s="1065">
        <v>0.15</v>
      </c>
      <c r="E247" s="1065">
        <v>0.15</v>
      </c>
      <c r="F247" s="1066">
        <v>0.15</v>
      </c>
    </row>
    <row r="248" spans="1:6" ht="14.25" thickBot="1">
      <c r="A248" s="840" t="s">
        <v>530</v>
      </c>
      <c r="B248" s="834" t="s">
        <v>968</v>
      </c>
      <c r="C248" s="1065">
        <v>0.15</v>
      </c>
      <c r="D248" s="1065">
        <v>0.15</v>
      </c>
      <c r="E248" s="1065">
        <v>0.15</v>
      </c>
      <c r="F248" s="1066">
        <v>0.14000000000000001</v>
      </c>
    </row>
    <row r="249" spans="1:6" ht="14.25" thickBot="1">
      <c r="A249" s="840" t="s">
        <v>530</v>
      </c>
      <c r="B249" s="834" t="s">
        <v>969</v>
      </c>
      <c r="C249" s="1065">
        <v>0.15</v>
      </c>
      <c r="D249" s="1065">
        <v>0.14899999999999999</v>
      </c>
      <c r="E249" s="1065">
        <v>0.15</v>
      </c>
      <c r="F249" s="1066">
        <v>0.1</v>
      </c>
    </row>
    <row r="250" spans="1:6" ht="14.25" thickBot="1">
      <c r="A250" s="840" t="s">
        <v>530</v>
      </c>
      <c r="B250" s="834" t="s">
        <v>970</v>
      </c>
      <c r="C250" s="1065">
        <v>0.15</v>
      </c>
      <c r="D250" s="1065">
        <v>0.15</v>
      </c>
      <c r="E250" s="1065">
        <v>0.15</v>
      </c>
      <c r="F250" s="1066">
        <v>0.14399999999999999</v>
      </c>
    </row>
    <row r="251" spans="1:6" ht="14.25" thickBot="1">
      <c r="A251" s="840" t="s">
        <v>530</v>
      </c>
      <c r="B251" s="834" t="s">
        <v>255</v>
      </c>
      <c r="C251" s="1065">
        <v>0.15</v>
      </c>
      <c r="D251" s="1065">
        <v>0.15</v>
      </c>
      <c r="E251" s="1065">
        <v>0.15</v>
      </c>
      <c r="F251" s="1066">
        <v>0.14299999999999999</v>
      </c>
    </row>
    <row r="252" spans="1:6" ht="14.25" thickBot="1">
      <c r="A252" s="840" t="s">
        <v>530</v>
      </c>
      <c r="B252" s="834" t="s">
        <v>266</v>
      </c>
      <c r="C252" s="1065">
        <v>0.15</v>
      </c>
      <c r="D252" s="1065">
        <v>0.15</v>
      </c>
      <c r="E252" s="1065">
        <v>0.15</v>
      </c>
      <c r="F252" s="1066">
        <v>0.1</v>
      </c>
    </row>
    <row r="253" spans="1:6" ht="14.25" thickBot="1">
      <c r="A253" s="840" t="s">
        <v>530</v>
      </c>
      <c r="B253" s="834" t="s">
        <v>278</v>
      </c>
      <c r="C253" s="1065">
        <v>0.15</v>
      </c>
      <c r="D253" s="1065">
        <v>0.15</v>
      </c>
      <c r="E253" s="1065">
        <v>0.15</v>
      </c>
      <c r="F253" s="1066">
        <v>0.1</v>
      </c>
    </row>
    <row r="254" spans="1:6" ht="14.25" thickBot="1">
      <c r="A254" s="840" t="s">
        <v>530</v>
      </c>
      <c r="B254" s="834" t="s">
        <v>288</v>
      </c>
      <c r="C254" s="1078"/>
      <c r="D254" s="1078"/>
      <c r="E254" s="1078"/>
      <c r="F254" s="1066">
        <v>0.15</v>
      </c>
    </row>
    <row r="255" spans="1:6" ht="14.25" thickBot="1">
      <c r="A255" s="840" t="s">
        <v>530</v>
      </c>
      <c r="B255" s="834" t="s">
        <v>298</v>
      </c>
      <c r="C255" s="1078"/>
      <c r="D255" s="1078"/>
      <c r="E255" s="1078"/>
      <c r="F255" s="1066">
        <v>0.14299999999999999</v>
      </c>
    </row>
    <row r="256" spans="1:6" ht="14.25" thickBot="1">
      <c r="A256" s="840" t="s">
        <v>530</v>
      </c>
      <c r="B256" s="834" t="s">
        <v>971</v>
      </c>
      <c r="C256" s="1065">
        <v>0.14599999999999999</v>
      </c>
      <c r="D256" s="1065">
        <v>0.14699999999999999</v>
      </c>
      <c r="E256" s="1065">
        <v>0.15</v>
      </c>
      <c r="F256" s="1066">
        <v>0.13200000000000001</v>
      </c>
    </row>
    <row r="257" spans="1:6" ht="14.25" thickBot="1">
      <c r="A257" s="840" t="s">
        <v>530</v>
      </c>
      <c r="B257" s="834" t="s">
        <v>318</v>
      </c>
      <c r="C257" s="1065">
        <v>0.15</v>
      </c>
      <c r="D257" s="1065">
        <v>0.15</v>
      </c>
      <c r="E257" s="1065">
        <v>0.15</v>
      </c>
      <c r="F257" s="1066">
        <v>0.13900000000000001</v>
      </c>
    </row>
    <row r="258" spans="1:6" ht="14.25" thickBot="1">
      <c r="A258" s="840" t="s">
        <v>530</v>
      </c>
      <c r="B258" s="834" t="s">
        <v>329</v>
      </c>
      <c r="C258" s="1065">
        <v>0.15</v>
      </c>
      <c r="D258" s="1065">
        <v>0.15</v>
      </c>
      <c r="E258" s="1065">
        <v>0.15</v>
      </c>
      <c r="F258" s="1066">
        <v>0.13</v>
      </c>
    </row>
    <row r="259" spans="1:6" ht="14.25" thickBot="1">
      <c r="A259" s="840" t="s">
        <v>530</v>
      </c>
      <c r="B259" s="834" t="s">
        <v>972</v>
      </c>
      <c r="C259" s="1065">
        <v>0.14799999999999999</v>
      </c>
      <c r="D259" s="1065">
        <v>0.14899999999999999</v>
      </c>
      <c r="E259" s="1065">
        <v>0.15</v>
      </c>
      <c r="F259" s="1066">
        <v>0.13700000000000001</v>
      </c>
    </row>
    <row r="260" spans="1:6" ht="14.25" thickBot="1">
      <c r="A260" s="840" t="s">
        <v>530</v>
      </c>
      <c r="B260" s="834" t="s">
        <v>350</v>
      </c>
      <c r="C260" s="1065">
        <v>0.15</v>
      </c>
      <c r="D260" s="1065">
        <v>0.15</v>
      </c>
      <c r="E260" s="1065">
        <v>0.15</v>
      </c>
      <c r="F260" s="1066">
        <v>0.14199999999999999</v>
      </c>
    </row>
    <row r="261" spans="1:6" ht="14.25" thickBot="1">
      <c r="A261" s="840" t="s">
        <v>530</v>
      </c>
      <c r="B261" s="834" t="s">
        <v>360</v>
      </c>
      <c r="C261" s="1065">
        <v>0.15</v>
      </c>
      <c r="D261" s="1065">
        <v>0.15</v>
      </c>
      <c r="E261" s="1065">
        <v>0.14899999999999999</v>
      </c>
      <c r="F261" s="1066">
        <v>0.14799999999999999</v>
      </c>
    </row>
    <row r="262" spans="1:6" ht="14.25" thickBot="1">
      <c r="A262" s="840" t="s">
        <v>530</v>
      </c>
      <c r="B262" s="834" t="s">
        <v>370</v>
      </c>
      <c r="C262" s="1065">
        <v>0.15</v>
      </c>
      <c r="D262" s="1065">
        <v>0.15</v>
      </c>
      <c r="E262" s="1065">
        <v>0.15</v>
      </c>
      <c r="F262" s="1077"/>
    </row>
    <row r="263" spans="1:6" ht="14.25" thickBot="1">
      <c r="A263" s="840" t="s">
        <v>530</v>
      </c>
      <c r="B263" s="834" t="s">
        <v>973</v>
      </c>
      <c r="C263" s="1065">
        <v>0.14899999999999999</v>
      </c>
      <c r="D263" s="1065">
        <v>0.14899999999999999</v>
      </c>
      <c r="E263" s="1065">
        <v>0.15</v>
      </c>
      <c r="F263" s="1066">
        <v>0.13</v>
      </c>
    </row>
    <row r="264" spans="1:6" ht="14.25" thickBot="1">
      <c r="A264" s="840" t="s">
        <v>530</v>
      </c>
      <c r="B264" s="834" t="s">
        <v>389</v>
      </c>
      <c r="C264" s="1065">
        <v>0.14799999999999999</v>
      </c>
      <c r="D264" s="1065">
        <v>0.14699999999999999</v>
      </c>
      <c r="E264" s="1065">
        <v>0.15</v>
      </c>
      <c r="F264" s="1066">
        <v>7.8E-2</v>
      </c>
    </row>
    <row r="265" spans="1:6" ht="14.25" thickBot="1">
      <c r="A265" s="840" t="s">
        <v>530</v>
      </c>
      <c r="B265" s="834" t="s">
        <v>398</v>
      </c>
      <c r="C265" s="1065">
        <v>0.15</v>
      </c>
      <c r="D265" s="1065">
        <v>0.15</v>
      </c>
      <c r="E265" s="1065">
        <v>0.15</v>
      </c>
      <c r="F265" s="1066">
        <v>7.3999999999999996E-2</v>
      </c>
    </row>
    <row r="266" spans="1:6" ht="14.25" thickBot="1">
      <c r="A266" s="840" t="s">
        <v>530</v>
      </c>
      <c r="B266" s="834" t="s">
        <v>406</v>
      </c>
      <c r="C266" s="1065">
        <v>0.14699999999999999</v>
      </c>
      <c r="D266" s="1065">
        <v>0.14699999999999999</v>
      </c>
      <c r="E266" s="1065">
        <v>0.15</v>
      </c>
      <c r="F266" s="1066">
        <v>0.14299999999999999</v>
      </c>
    </row>
    <row r="267" spans="1:6" ht="14.25" thickBot="1">
      <c r="A267" s="840" t="s">
        <v>530</v>
      </c>
      <c r="B267" s="834" t="s">
        <v>413</v>
      </c>
      <c r="C267" s="1065">
        <v>0.14199999999999999</v>
      </c>
      <c r="D267" s="1065">
        <v>0.14299999999999999</v>
      </c>
      <c r="E267" s="1065">
        <v>0.15</v>
      </c>
      <c r="F267" s="1077"/>
    </row>
    <row r="268" spans="1:6" ht="14.25" thickBot="1">
      <c r="A268" s="840" t="s">
        <v>530</v>
      </c>
      <c r="B268" s="834" t="s">
        <v>974</v>
      </c>
      <c r="C268" s="1065">
        <v>0.15</v>
      </c>
      <c r="D268" s="1065">
        <v>0.15</v>
      </c>
      <c r="E268" s="1065">
        <v>0.15</v>
      </c>
      <c r="F268" s="1066">
        <v>0.13</v>
      </c>
    </row>
    <row r="269" spans="1:6" ht="14.25" thickBot="1">
      <c r="A269" s="840" t="s">
        <v>530</v>
      </c>
      <c r="B269" s="834" t="s">
        <v>427</v>
      </c>
      <c r="C269" s="1065">
        <v>0.15</v>
      </c>
      <c r="D269" s="1065">
        <v>0.15</v>
      </c>
      <c r="E269" s="1065">
        <v>0.15</v>
      </c>
      <c r="F269" s="1066">
        <v>0.14299999999999999</v>
      </c>
    </row>
    <row r="270" spans="1:6" ht="14.25" thickBot="1">
      <c r="A270" s="840" t="s">
        <v>530</v>
      </c>
      <c r="B270" s="834" t="s">
        <v>434</v>
      </c>
      <c r="C270" s="1065">
        <v>0.14499999999999999</v>
      </c>
      <c r="D270" s="1065">
        <v>0.14499999999999999</v>
      </c>
      <c r="E270" s="1065">
        <v>0.15</v>
      </c>
      <c r="F270" s="1066">
        <v>0.14699999999999999</v>
      </c>
    </row>
    <row r="271" spans="1:6" ht="14.25" thickBot="1">
      <c r="A271" s="840" t="s">
        <v>530</v>
      </c>
      <c r="B271" s="834" t="s">
        <v>441</v>
      </c>
      <c r="C271" s="1065">
        <v>0.15</v>
      </c>
      <c r="D271" s="1065">
        <v>0.15</v>
      </c>
      <c r="E271" s="1065">
        <v>0.15</v>
      </c>
      <c r="F271" s="1066">
        <v>0.13800000000000001</v>
      </c>
    </row>
    <row r="272" spans="1:6" ht="14.25" thickBot="1">
      <c r="A272" s="840" t="s">
        <v>530</v>
      </c>
      <c r="B272" s="834" t="s">
        <v>448</v>
      </c>
      <c r="C272" s="1078"/>
      <c r="D272" s="1078"/>
      <c r="E272" s="1078"/>
      <c r="F272" s="1066">
        <v>0.14000000000000001</v>
      </c>
    </row>
    <row r="273" spans="1:6" ht="14.25" thickBot="1">
      <c r="A273" s="840" t="s">
        <v>530</v>
      </c>
      <c r="B273" s="834" t="s">
        <v>975</v>
      </c>
      <c r="C273" s="1065">
        <v>0.14199999999999999</v>
      </c>
      <c r="D273" s="1065">
        <v>0.14299999999999999</v>
      </c>
      <c r="E273" s="1065">
        <v>0.15</v>
      </c>
      <c r="F273" s="1066">
        <v>0.1</v>
      </c>
    </row>
    <row r="274" spans="1:6" ht="14.25" thickBot="1">
      <c r="A274" s="840" t="s">
        <v>530</v>
      </c>
      <c r="B274" s="834" t="s">
        <v>976</v>
      </c>
      <c r="C274" s="1065">
        <v>0.14799999999999999</v>
      </c>
      <c r="D274" s="1065">
        <v>0.14799999999999999</v>
      </c>
      <c r="E274" s="1065">
        <v>0.15</v>
      </c>
      <c r="F274" s="1066">
        <v>6.7000000000000004E-2</v>
      </c>
    </row>
    <row r="275" spans="1:6" ht="14.25" thickBot="1">
      <c r="A275" s="840" t="s">
        <v>530</v>
      </c>
      <c r="B275" s="834" t="s">
        <v>977</v>
      </c>
      <c r="C275" s="1065">
        <v>0.15</v>
      </c>
      <c r="D275" s="1065">
        <v>0.15</v>
      </c>
      <c r="E275" s="1065">
        <v>0.15</v>
      </c>
      <c r="F275" s="1066">
        <v>0.15</v>
      </c>
    </row>
    <row r="276" spans="1:6" ht="14.25" thickBot="1">
      <c r="A276" s="840" t="s">
        <v>530</v>
      </c>
      <c r="B276" s="834" t="s">
        <v>978</v>
      </c>
      <c r="C276" s="1065">
        <v>0.14499999999999999</v>
      </c>
      <c r="D276" s="1065">
        <v>0.14299999999999999</v>
      </c>
      <c r="E276" s="1065">
        <v>0.15</v>
      </c>
      <c r="F276" s="1066">
        <v>5.8999999999999997E-2</v>
      </c>
    </row>
    <row r="277" spans="1:6" ht="14.25" thickBot="1">
      <c r="A277" s="840" t="s">
        <v>530</v>
      </c>
      <c r="B277" s="834" t="s">
        <v>979</v>
      </c>
      <c r="C277" s="1065">
        <v>0.15</v>
      </c>
      <c r="D277" s="1065">
        <v>0.15</v>
      </c>
      <c r="E277" s="1065">
        <v>0.15</v>
      </c>
      <c r="F277" s="1066">
        <v>0.121</v>
      </c>
    </row>
    <row r="278" spans="1:6" ht="14.25" thickBot="1">
      <c r="A278" s="840" t="s">
        <v>530</v>
      </c>
      <c r="B278" s="834" t="s">
        <v>980</v>
      </c>
      <c r="C278" s="1065">
        <v>0.15</v>
      </c>
      <c r="D278" s="1065">
        <v>0.15</v>
      </c>
      <c r="E278" s="1065">
        <v>0.15</v>
      </c>
      <c r="F278" s="1066">
        <v>0.13800000000000001</v>
      </c>
    </row>
    <row r="279" spans="1:6" ht="24.75" thickBot="1">
      <c r="A279" s="840" t="s">
        <v>530</v>
      </c>
      <c r="B279" s="834" t="s">
        <v>981</v>
      </c>
      <c r="C279" s="1078"/>
      <c r="D279" s="1078"/>
      <c r="E279" s="1078"/>
      <c r="F279" s="1066">
        <v>0.05</v>
      </c>
    </row>
    <row r="280" spans="1:6" ht="24.75" thickBot="1">
      <c r="A280" s="840" t="s">
        <v>530</v>
      </c>
      <c r="B280" s="834" t="s">
        <v>982</v>
      </c>
      <c r="C280" s="1078"/>
      <c r="D280" s="1078"/>
      <c r="E280" s="1078"/>
      <c r="F280" s="1066">
        <v>0.05</v>
      </c>
    </row>
    <row r="281" spans="1:6" ht="24.75" thickBot="1">
      <c r="A281" s="840" t="s">
        <v>530</v>
      </c>
      <c r="B281" s="834" t="s">
        <v>983</v>
      </c>
      <c r="C281" s="1078"/>
      <c r="D281" s="1078"/>
      <c r="E281" s="1078"/>
      <c r="F281" s="1066">
        <v>0.05</v>
      </c>
    </row>
    <row r="282" spans="1:6" ht="24.75" thickBot="1">
      <c r="A282" s="840" t="s">
        <v>530</v>
      </c>
      <c r="B282" s="834" t="s">
        <v>984</v>
      </c>
      <c r="C282" s="1078"/>
      <c r="D282" s="1078"/>
      <c r="E282" s="1078"/>
      <c r="F282" s="1066">
        <v>0.05</v>
      </c>
    </row>
    <row r="283" spans="1:6" ht="24.75" thickBot="1">
      <c r="A283" s="840" t="s">
        <v>530</v>
      </c>
      <c r="B283" s="834" t="s">
        <v>985</v>
      </c>
      <c r="C283" s="1078"/>
      <c r="D283" s="1078"/>
      <c r="E283" s="1078"/>
      <c r="F283" s="1066">
        <v>0.05</v>
      </c>
    </row>
    <row r="284" spans="1:6" ht="24.75" thickBot="1">
      <c r="A284" s="840" t="s">
        <v>530</v>
      </c>
      <c r="B284" s="834" t="s">
        <v>986</v>
      </c>
      <c r="C284" s="1078"/>
      <c r="D284" s="1078"/>
      <c r="E284" s="1078"/>
      <c r="F284" s="1066">
        <v>0.05</v>
      </c>
    </row>
    <row r="285" spans="1:6" ht="24.75" thickBot="1">
      <c r="A285" s="840" t="s">
        <v>530</v>
      </c>
      <c r="B285" s="834" t="s">
        <v>987</v>
      </c>
      <c r="C285" s="1078"/>
      <c r="D285" s="1078"/>
      <c r="E285" s="1078"/>
      <c r="F285" s="1066">
        <v>0.05</v>
      </c>
    </row>
    <row r="286" spans="1:6" ht="24.75" thickBot="1">
      <c r="A286" s="840" t="s">
        <v>530</v>
      </c>
      <c r="B286" s="834" t="s">
        <v>988</v>
      </c>
      <c r="C286" s="1078"/>
      <c r="D286" s="1078"/>
      <c r="E286" s="1078"/>
      <c r="F286" s="1066">
        <v>0.05</v>
      </c>
    </row>
    <row r="287" spans="1:6" ht="24.75" thickBot="1">
      <c r="A287" s="840" t="s">
        <v>530</v>
      </c>
      <c r="B287" s="834" t="s">
        <v>989</v>
      </c>
      <c r="C287" s="1078"/>
      <c r="D287" s="1078"/>
      <c r="E287" s="1078"/>
      <c r="F287" s="1066">
        <v>0.05</v>
      </c>
    </row>
    <row r="288" spans="1:6" ht="24.75" thickBot="1">
      <c r="A288" s="840" t="s">
        <v>530</v>
      </c>
      <c r="B288" s="834" t="s">
        <v>990</v>
      </c>
      <c r="C288" s="1078"/>
      <c r="D288" s="1078"/>
      <c r="E288" s="1078"/>
      <c r="F288" s="1066">
        <v>0.05</v>
      </c>
    </row>
    <row r="289" spans="1:6" ht="24.75" thickBot="1">
      <c r="A289" s="850" t="s">
        <v>530</v>
      </c>
      <c r="B289" s="846" t="s">
        <v>991</v>
      </c>
      <c r="C289" s="1075"/>
      <c r="D289" s="1075"/>
      <c r="E289" s="1075"/>
      <c r="F289" s="1068">
        <v>0.05</v>
      </c>
    </row>
    <row r="290" spans="1:6" ht="14.25" thickBot="1">
      <c r="A290" s="840" t="s">
        <v>534</v>
      </c>
      <c r="B290" s="841" t="s">
        <v>992</v>
      </c>
      <c r="C290" s="1063">
        <v>0.15</v>
      </c>
      <c r="D290" s="1063">
        <v>0.15</v>
      </c>
      <c r="E290" s="1063">
        <v>0.15</v>
      </c>
      <c r="F290" s="1080"/>
    </row>
    <row r="291" spans="1:6" ht="14.25" thickBot="1">
      <c r="A291" s="840" t="s">
        <v>534</v>
      </c>
      <c r="B291" s="834" t="s">
        <v>196</v>
      </c>
      <c r="C291" s="1065">
        <v>0.15</v>
      </c>
      <c r="D291" s="1065">
        <v>0.15</v>
      </c>
      <c r="E291" s="1065">
        <v>0.15</v>
      </c>
      <c r="F291" s="1077"/>
    </row>
    <row r="292" spans="1:6" ht="14.25" thickBot="1">
      <c r="A292" s="840" t="s">
        <v>534</v>
      </c>
      <c r="B292" s="834" t="s">
        <v>993</v>
      </c>
      <c r="C292" s="1065">
        <v>0.15</v>
      </c>
      <c r="D292" s="1065">
        <v>0.15</v>
      </c>
      <c r="E292" s="1065">
        <v>0.15</v>
      </c>
      <c r="F292" s="1066">
        <v>0.14699999999999999</v>
      </c>
    </row>
    <row r="293" spans="1:6" ht="14.25" thickBot="1">
      <c r="A293" s="840" t="s">
        <v>534</v>
      </c>
      <c r="B293" s="834" t="s">
        <v>994</v>
      </c>
      <c r="C293" s="1078"/>
      <c r="D293" s="1078"/>
      <c r="E293" s="1078"/>
      <c r="F293" s="1066">
        <v>0.1</v>
      </c>
    </row>
    <row r="294" spans="1:6" ht="14.25" thickBot="1">
      <c r="A294" s="840" t="s">
        <v>534</v>
      </c>
      <c r="B294" s="834" t="s">
        <v>995</v>
      </c>
      <c r="C294" s="1065">
        <v>0.15</v>
      </c>
      <c r="D294" s="1065">
        <v>0.15</v>
      </c>
      <c r="E294" s="1065">
        <v>0.15</v>
      </c>
      <c r="F294" s="1066">
        <v>0.15</v>
      </c>
    </row>
    <row r="295" spans="1:6" ht="14.25" thickBot="1">
      <c r="A295" s="840" t="s">
        <v>534</v>
      </c>
      <c r="B295" s="834" t="s">
        <v>234</v>
      </c>
      <c r="C295" s="1065">
        <v>0.15</v>
      </c>
      <c r="D295" s="1065">
        <v>0.15</v>
      </c>
      <c r="E295" s="1065">
        <v>0.15</v>
      </c>
      <c r="F295" s="1066">
        <v>0.15</v>
      </c>
    </row>
    <row r="296" spans="1:6" ht="14.25" thickBot="1">
      <c r="A296" s="840" t="s">
        <v>534</v>
      </c>
      <c r="B296" s="834" t="s">
        <v>996</v>
      </c>
      <c r="C296" s="1065">
        <v>0.15</v>
      </c>
      <c r="D296" s="1065">
        <v>0.15</v>
      </c>
      <c r="E296" s="1065">
        <v>0.15</v>
      </c>
      <c r="F296" s="1066">
        <v>0.15</v>
      </c>
    </row>
    <row r="297" spans="1:6" ht="14.25" thickBot="1">
      <c r="A297" s="840" t="s">
        <v>534</v>
      </c>
      <c r="B297" s="834" t="s">
        <v>997</v>
      </c>
      <c r="C297" s="1065">
        <v>0.14799999999999999</v>
      </c>
      <c r="D297" s="1065">
        <v>0.14899999999999999</v>
      </c>
      <c r="E297" s="1065">
        <v>0.15</v>
      </c>
      <c r="F297" s="1066">
        <v>0.13700000000000001</v>
      </c>
    </row>
    <row r="298" spans="1:6" ht="14.25" thickBot="1">
      <c r="A298" s="840" t="s">
        <v>534</v>
      </c>
      <c r="B298" s="834" t="s">
        <v>267</v>
      </c>
      <c r="C298" s="1065">
        <v>0.13400000000000001</v>
      </c>
      <c r="D298" s="1065">
        <v>0.13400000000000001</v>
      </c>
      <c r="E298" s="1065">
        <v>0.14499999999999999</v>
      </c>
      <c r="F298" s="1066">
        <v>0.14799999999999999</v>
      </c>
    </row>
    <row r="299" spans="1:6" ht="14.25" thickBot="1">
      <c r="A299" s="840" t="s">
        <v>534</v>
      </c>
      <c r="B299" s="834" t="s">
        <v>279</v>
      </c>
      <c r="C299" s="1065">
        <v>0.15</v>
      </c>
      <c r="D299" s="1065">
        <v>0.15</v>
      </c>
      <c r="E299" s="1065">
        <v>0.15</v>
      </c>
      <c r="F299" s="1077"/>
    </row>
    <row r="300" spans="1:6" ht="14.25" thickBot="1">
      <c r="A300" s="840" t="s">
        <v>534</v>
      </c>
      <c r="B300" s="834" t="s">
        <v>998</v>
      </c>
      <c r="C300" s="1065">
        <v>0.15</v>
      </c>
      <c r="D300" s="1065">
        <v>0.15</v>
      </c>
      <c r="E300" s="1065">
        <v>0.15</v>
      </c>
      <c r="F300" s="1066">
        <v>0.15</v>
      </c>
    </row>
    <row r="301" spans="1:6" ht="14.25" thickBot="1">
      <c r="A301" s="840" t="s">
        <v>534</v>
      </c>
      <c r="B301" s="834" t="s">
        <v>299</v>
      </c>
      <c r="C301" s="1065">
        <v>0.15</v>
      </c>
      <c r="D301" s="1065">
        <v>0.15</v>
      </c>
      <c r="E301" s="1065">
        <v>0.15</v>
      </c>
      <c r="F301" s="1077"/>
    </row>
    <row r="302" spans="1:6" ht="14.25" thickBot="1">
      <c r="A302" s="840" t="s">
        <v>534</v>
      </c>
      <c r="B302" s="834" t="s">
        <v>999</v>
      </c>
      <c r="C302" s="1065">
        <v>0.15</v>
      </c>
      <c r="D302" s="1065">
        <v>0.15</v>
      </c>
      <c r="E302" s="1065">
        <v>0.15</v>
      </c>
      <c r="F302" s="1066">
        <v>0.15</v>
      </c>
    </row>
    <row r="303" spans="1:6" ht="14.25" thickBot="1">
      <c r="A303" s="840" t="s">
        <v>534</v>
      </c>
      <c r="B303" s="834" t="s">
        <v>319</v>
      </c>
      <c r="C303" s="1065">
        <v>0.15</v>
      </c>
      <c r="D303" s="1065">
        <v>0.15</v>
      </c>
      <c r="E303" s="1065">
        <v>0.15</v>
      </c>
      <c r="F303" s="1066">
        <v>0.15</v>
      </c>
    </row>
    <row r="304" spans="1:6" ht="14.25" thickBot="1">
      <c r="A304" s="840" t="s">
        <v>534</v>
      </c>
      <c r="B304" s="834" t="s">
        <v>330</v>
      </c>
      <c r="C304" s="1065">
        <v>0.15</v>
      </c>
      <c r="D304" s="1065">
        <v>0.15</v>
      </c>
      <c r="E304" s="1065">
        <v>0.15</v>
      </c>
      <c r="F304" s="1077"/>
    </row>
    <row r="305" spans="1:6" ht="14.25" thickBot="1">
      <c r="A305" s="840" t="s">
        <v>534</v>
      </c>
      <c r="B305" s="834" t="s">
        <v>1000</v>
      </c>
      <c r="C305" s="1065">
        <v>0.15</v>
      </c>
      <c r="D305" s="1065">
        <v>0.15</v>
      </c>
      <c r="E305" s="1065">
        <v>0.15</v>
      </c>
      <c r="F305" s="1066">
        <v>0.14000000000000001</v>
      </c>
    </row>
    <row r="306" spans="1:6" ht="14.25" thickBot="1">
      <c r="A306" s="840" t="s">
        <v>534</v>
      </c>
      <c r="B306" s="834" t="s">
        <v>351</v>
      </c>
      <c r="C306" s="1065">
        <v>0.15</v>
      </c>
      <c r="D306" s="1065">
        <v>0.15</v>
      </c>
      <c r="E306" s="1065">
        <v>0.15</v>
      </c>
      <c r="F306" s="1077"/>
    </row>
    <row r="307" spans="1:6" ht="14.25" thickBot="1">
      <c r="A307" s="840" t="s">
        <v>534</v>
      </c>
      <c r="B307" s="834" t="s">
        <v>1001</v>
      </c>
      <c r="C307" s="1065">
        <v>0.15</v>
      </c>
      <c r="D307" s="1065">
        <v>0.15</v>
      </c>
      <c r="E307" s="1065">
        <v>0.15</v>
      </c>
      <c r="F307" s="1066">
        <v>0.14299999999999999</v>
      </c>
    </row>
    <row r="308" spans="1:6" ht="14.25" thickBot="1">
      <c r="A308" s="840" t="s">
        <v>534</v>
      </c>
      <c r="B308" s="834" t="s">
        <v>371</v>
      </c>
      <c r="C308" s="1065">
        <v>0.15</v>
      </c>
      <c r="D308" s="1065">
        <v>0.15</v>
      </c>
      <c r="E308" s="1065">
        <v>0.15</v>
      </c>
      <c r="F308" s="1066">
        <v>0.15</v>
      </c>
    </row>
    <row r="309" spans="1:6" ht="14.25" thickBot="1">
      <c r="A309" s="840" t="s">
        <v>534</v>
      </c>
      <c r="B309" s="834" t="s">
        <v>381</v>
      </c>
      <c r="C309" s="1065">
        <v>0.15</v>
      </c>
      <c r="D309" s="1065">
        <v>0.15</v>
      </c>
      <c r="E309" s="1065">
        <v>0.15</v>
      </c>
      <c r="F309" s="1077"/>
    </row>
    <row r="310" spans="1:6" ht="14.25" thickBot="1">
      <c r="A310" s="840" t="s">
        <v>534</v>
      </c>
      <c r="B310" s="834" t="s">
        <v>1002</v>
      </c>
      <c r="C310" s="1065">
        <v>0.15</v>
      </c>
      <c r="D310" s="1065">
        <v>0.15</v>
      </c>
      <c r="E310" s="1065">
        <v>0.15</v>
      </c>
      <c r="F310" s="1066">
        <v>0.13700000000000001</v>
      </c>
    </row>
    <row r="311" spans="1:6" ht="14.25" thickBot="1">
      <c r="A311" s="840" t="s">
        <v>534</v>
      </c>
      <c r="B311" s="834" t="s">
        <v>1003</v>
      </c>
      <c r="C311" s="1065">
        <v>0.15</v>
      </c>
      <c r="D311" s="1065">
        <v>0.15</v>
      </c>
      <c r="E311" s="1065">
        <v>0.15</v>
      </c>
      <c r="F311" s="1066">
        <v>0.15</v>
      </c>
    </row>
    <row r="312" spans="1:6" ht="14.25" thickBot="1">
      <c r="A312" s="840" t="s">
        <v>534</v>
      </c>
      <c r="B312" s="834" t="s">
        <v>407</v>
      </c>
      <c r="C312" s="1065">
        <v>0.15</v>
      </c>
      <c r="D312" s="1065">
        <v>0.15</v>
      </c>
      <c r="E312" s="1065">
        <v>0.15</v>
      </c>
      <c r="F312" s="1066">
        <v>0.1</v>
      </c>
    </row>
    <row r="313" spans="1:6" ht="14.25" thickBot="1">
      <c r="A313" s="840" t="s">
        <v>534</v>
      </c>
      <c r="B313" s="834" t="s">
        <v>1004</v>
      </c>
      <c r="C313" s="1065">
        <v>0.15</v>
      </c>
      <c r="D313" s="1065">
        <v>0.15</v>
      </c>
      <c r="E313" s="1065">
        <v>0.15</v>
      </c>
      <c r="F313" s="1066">
        <v>0.15</v>
      </c>
    </row>
    <row r="314" spans="1:6" ht="24.75" thickBot="1">
      <c r="A314" s="840" t="s">
        <v>534</v>
      </c>
      <c r="B314" s="834" t="s">
        <v>1005</v>
      </c>
      <c r="C314" s="1078"/>
      <c r="D314" s="1078"/>
      <c r="E314" s="1078"/>
      <c r="F314" s="1066">
        <v>0.05</v>
      </c>
    </row>
    <row r="315" spans="1:6" ht="24.75" thickBot="1">
      <c r="A315" s="840" t="s">
        <v>534</v>
      </c>
      <c r="B315" s="834" t="s">
        <v>1006</v>
      </c>
      <c r="C315" s="1078"/>
      <c r="D315" s="1078"/>
      <c r="E315" s="1078"/>
      <c r="F315" s="1066">
        <v>0.05</v>
      </c>
    </row>
    <row r="316" spans="1:6" ht="24.75" thickBot="1">
      <c r="A316" s="850" t="s">
        <v>534</v>
      </c>
      <c r="B316" s="846" t="s">
        <v>1007</v>
      </c>
      <c r="C316" s="1075"/>
      <c r="D316" s="1075"/>
      <c r="E316" s="1075"/>
      <c r="F316" s="1068">
        <v>0.05</v>
      </c>
    </row>
    <row r="317" spans="1:6" ht="14.25" thickBot="1">
      <c r="A317" s="840" t="s">
        <v>1008</v>
      </c>
      <c r="B317" s="841" t="s">
        <v>1009</v>
      </c>
      <c r="C317" s="1063">
        <v>0.15</v>
      </c>
      <c r="D317" s="1063">
        <v>0.15</v>
      </c>
      <c r="E317" s="1063">
        <v>0.15</v>
      </c>
      <c r="F317" s="1064">
        <v>0.15</v>
      </c>
    </row>
    <row r="318" spans="1:6" ht="14.25" thickBot="1">
      <c r="A318" s="840" t="s">
        <v>1008</v>
      </c>
      <c r="B318" s="834" t="s">
        <v>1010</v>
      </c>
      <c r="C318" s="1065">
        <v>0.107</v>
      </c>
      <c r="D318" s="1065">
        <v>0.11</v>
      </c>
      <c r="E318" s="1065">
        <v>0.112</v>
      </c>
      <c r="F318" s="1077"/>
    </row>
    <row r="319" spans="1:6" ht="14.25" thickBot="1">
      <c r="A319" s="840" t="s">
        <v>1008</v>
      </c>
      <c r="B319" s="834" t="s">
        <v>1011</v>
      </c>
      <c r="C319" s="1065">
        <v>0.15</v>
      </c>
      <c r="D319" s="1065">
        <v>0.15</v>
      </c>
      <c r="E319" s="1065">
        <v>0.15</v>
      </c>
      <c r="F319" s="1066">
        <v>0.15</v>
      </c>
    </row>
    <row r="320" spans="1:6" ht="14.25" thickBot="1">
      <c r="A320" s="840" t="s">
        <v>1008</v>
      </c>
      <c r="B320" s="834" t="s">
        <v>223</v>
      </c>
      <c r="C320" s="1065">
        <v>0.15</v>
      </c>
      <c r="D320" s="1065">
        <v>0.15</v>
      </c>
      <c r="E320" s="1065">
        <v>0.15</v>
      </c>
      <c r="F320" s="1077"/>
    </row>
    <row r="321" spans="1:6" ht="14.25" thickBot="1">
      <c r="A321" s="840" t="s">
        <v>1008</v>
      </c>
      <c r="B321" s="834" t="s">
        <v>1012</v>
      </c>
      <c r="C321" s="1065">
        <v>0.15</v>
      </c>
      <c r="D321" s="1065">
        <v>0.15</v>
      </c>
      <c r="E321" s="1065">
        <v>0.15</v>
      </c>
      <c r="F321" s="1077"/>
    </row>
    <row r="322" spans="1:6" ht="14.25" thickBot="1">
      <c r="A322" s="840" t="s">
        <v>1008</v>
      </c>
      <c r="B322" s="834" t="s">
        <v>1013</v>
      </c>
      <c r="C322" s="1065">
        <v>0.15</v>
      </c>
      <c r="D322" s="1065">
        <v>0.15</v>
      </c>
      <c r="E322" s="1065">
        <v>0.15</v>
      </c>
      <c r="F322" s="1066">
        <v>0.15</v>
      </c>
    </row>
    <row r="323" spans="1:6" ht="14.25" thickBot="1">
      <c r="A323" s="840" t="s">
        <v>1008</v>
      </c>
      <c r="B323" s="834" t="s">
        <v>1014</v>
      </c>
      <c r="C323" s="1065">
        <v>0.15</v>
      </c>
      <c r="D323" s="1065">
        <v>0.15</v>
      </c>
      <c r="E323" s="1065">
        <v>0.15</v>
      </c>
      <c r="F323" s="1077"/>
    </row>
    <row r="324" spans="1:6" ht="14.25" thickBot="1">
      <c r="A324" s="840" t="s">
        <v>1008</v>
      </c>
      <c r="B324" s="834" t="s">
        <v>1015</v>
      </c>
      <c r="C324" s="1065">
        <v>0.15</v>
      </c>
      <c r="D324" s="1065">
        <v>0.15</v>
      </c>
      <c r="E324" s="1065">
        <v>0.15</v>
      </c>
      <c r="F324" s="1077"/>
    </row>
    <row r="325" spans="1:6" ht="14.25" thickBot="1">
      <c r="A325" s="840" t="s">
        <v>1008</v>
      </c>
      <c r="B325" s="834" t="s">
        <v>1016</v>
      </c>
      <c r="C325" s="1065">
        <v>0.15</v>
      </c>
      <c r="D325" s="1065">
        <v>0.15</v>
      </c>
      <c r="E325" s="1065">
        <v>0.15</v>
      </c>
      <c r="F325" s="1066">
        <v>0.14699999999999999</v>
      </c>
    </row>
    <row r="326" spans="1:6" ht="14.25" thickBot="1">
      <c r="A326" s="840" t="s">
        <v>1008</v>
      </c>
      <c r="B326" s="834" t="s">
        <v>290</v>
      </c>
      <c r="C326" s="1065">
        <v>0.15</v>
      </c>
      <c r="D326" s="1065">
        <v>0.15</v>
      </c>
      <c r="E326" s="1065">
        <v>0.15</v>
      </c>
      <c r="F326" s="1077"/>
    </row>
    <row r="327" spans="1:6" ht="14.25" thickBot="1">
      <c r="A327" s="840" t="s">
        <v>1008</v>
      </c>
      <c r="B327" s="834" t="s">
        <v>1017</v>
      </c>
      <c r="C327" s="1065">
        <v>0.15</v>
      </c>
      <c r="D327" s="1065">
        <v>0.15</v>
      </c>
      <c r="E327" s="1065">
        <v>0.15</v>
      </c>
      <c r="F327" s="1066">
        <v>0.15</v>
      </c>
    </row>
    <row r="328" spans="1:6" ht="14.25" thickBot="1">
      <c r="A328" s="840" t="s">
        <v>1008</v>
      </c>
      <c r="B328" s="834" t="s">
        <v>310</v>
      </c>
      <c r="C328" s="1065">
        <v>0.15</v>
      </c>
      <c r="D328" s="1065">
        <v>0.15</v>
      </c>
      <c r="E328" s="1065">
        <v>0.15</v>
      </c>
      <c r="F328" s="1066">
        <v>0.14099999999999999</v>
      </c>
    </row>
    <row r="329" spans="1:6" ht="14.25" thickBot="1">
      <c r="A329" s="840" t="s">
        <v>1008</v>
      </c>
      <c r="B329" s="834" t="s">
        <v>320</v>
      </c>
      <c r="C329" s="1065">
        <v>0.15</v>
      </c>
      <c r="D329" s="1065">
        <v>0.15</v>
      </c>
      <c r="E329" s="1065">
        <v>0.15</v>
      </c>
      <c r="F329" s="1066">
        <v>0.15</v>
      </c>
    </row>
    <row r="330" spans="1:6" ht="14.25" thickBot="1">
      <c r="A330" s="840" t="s">
        <v>1008</v>
      </c>
      <c r="B330" s="834" t="s">
        <v>331</v>
      </c>
      <c r="C330" s="1065">
        <v>0.15</v>
      </c>
      <c r="D330" s="1065">
        <v>0.15</v>
      </c>
      <c r="E330" s="1065">
        <v>0.15</v>
      </c>
      <c r="F330" s="1077"/>
    </row>
    <row r="331" spans="1:6" ht="14.25" thickBot="1">
      <c r="A331" s="840" t="s">
        <v>1008</v>
      </c>
      <c r="B331" s="834" t="s">
        <v>1018</v>
      </c>
      <c r="C331" s="1065">
        <v>0.15</v>
      </c>
      <c r="D331" s="1065">
        <v>0.15</v>
      </c>
      <c r="E331" s="1065">
        <v>0.15</v>
      </c>
      <c r="F331" s="1066">
        <v>0.15</v>
      </c>
    </row>
    <row r="332" spans="1:6" ht="14.25" thickBot="1">
      <c r="A332" s="840" t="s">
        <v>1008</v>
      </c>
      <c r="B332" s="834" t="s">
        <v>352</v>
      </c>
      <c r="C332" s="1065">
        <v>0.15</v>
      </c>
      <c r="D332" s="1065">
        <v>0.15</v>
      </c>
      <c r="E332" s="1065">
        <v>0.15</v>
      </c>
      <c r="F332" s="1066">
        <v>0.15</v>
      </c>
    </row>
    <row r="333" spans="1:6" ht="14.25" thickBot="1">
      <c r="A333" s="840" t="s">
        <v>1008</v>
      </c>
      <c r="B333" s="834" t="s">
        <v>1019</v>
      </c>
      <c r="C333" s="1065">
        <v>0.15</v>
      </c>
      <c r="D333" s="1065">
        <v>0.15</v>
      </c>
      <c r="E333" s="1065">
        <v>0.15</v>
      </c>
      <c r="F333" s="1066">
        <v>0.14099999999999999</v>
      </c>
    </row>
    <row r="334" spans="1:6" ht="14.25" thickBot="1">
      <c r="A334" s="840" t="s">
        <v>1008</v>
      </c>
      <c r="B334" s="834" t="s">
        <v>372</v>
      </c>
      <c r="C334" s="1065">
        <v>0.15</v>
      </c>
      <c r="D334" s="1065">
        <v>0.15</v>
      </c>
      <c r="E334" s="1065">
        <v>0.15</v>
      </c>
      <c r="F334" s="1066">
        <v>0.15</v>
      </c>
    </row>
    <row r="335" spans="1:6" ht="14.25" thickBot="1">
      <c r="A335" s="840" t="s">
        <v>1008</v>
      </c>
      <c r="B335" s="834" t="s">
        <v>382</v>
      </c>
      <c r="C335" s="1065">
        <v>0.15</v>
      </c>
      <c r="D335" s="1065">
        <v>0.15</v>
      </c>
      <c r="E335" s="1065">
        <v>0.15</v>
      </c>
      <c r="F335" s="1077"/>
    </row>
    <row r="336" spans="1:6" ht="14.25" thickBot="1">
      <c r="A336" s="840" t="s">
        <v>1008</v>
      </c>
      <c r="B336" s="834" t="s">
        <v>1020</v>
      </c>
      <c r="C336" s="1065">
        <v>0.15</v>
      </c>
      <c r="D336" s="1065">
        <v>0.15</v>
      </c>
      <c r="E336" s="1065">
        <v>0.15</v>
      </c>
      <c r="F336" s="1066">
        <v>0.11799999999999999</v>
      </c>
    </row>
    <row r="337" spans="1:6" ht="14.25" thickBot="1">
      <c r="A337" s="850" t="s">
        <v>1008</v>
      </c>
      <c r="B337" s="846" t="s">
        <v>400</v>
      </c>
      <c r="C337" s="1075"/>
      <c r="D337" s="1075"/>
      <c r="E337" s="1075"/>
      <c r="F337" s="1068">
        <v>0.14299999999999999</v>
      </c>
    </row>
    <row r="338" spans="1:6" ht="14.25" thickBot="1">
      <c r="A338" s="840" t="s">
        <v>1021</v>
      </c>
      <c r="B338" s="841" t="s">
        <v>1022</v>
      </c>
      <c r="C338" s="1063">
        <v>0.15</v>
      </c>
      <c r="D338" s="1063">
        <v>0.15</v>
      </c>
      <c r="E338" s="1063">
        <v>0.15</v>
      </c>
      <c r="F338" s="1080"/>
    </row>
    <row r="339" spans="1:6" ht="14.25" thickBot="1">
      <c r="A339" s="840" t="s">
        <v>1021</v>
      </c>
      <c r="B339" s="834" t="s">
        <v>1023</v>
      </c>
      <c r="C339" s="1065">
        <v>0.15</v>
      </c>
      <c r="D339" s="1065">
        <v>0.15</v>
      </c>
      <c r="E339" s="1065">
        <v>0.15</v>
      </c>
      <c r="F339" s="1077"/>
    </row>
    <row r="340" spans="1:6" ht="14.25" thickBot="1">
      <c r="A340" s="840" t="s">
        <v>1021</v>
      </c>
      <c r="B340" s="834" t="s">
        <v>1024</v>
      </c>
      <c r="C340" s="1065">
        <v>0.15</v>
      </c>
      <c r="D340" s="1065">
        <v>0.15</v>
      </c>
      <c r="E340" s="1065">
        <v>0.15</v>
      </c>
      <c r="F340" s="1077"/>
    </row>
    <row r="341" spans="1:6" ht="14.25" thickBot="1">
      <c r="A341" s="840" t="s">
        <v>1021</v>
      </c>
      <c r="B341" s="834" t="s">
        <v>1025</v>
      </c>
      <c r="C341" s="1065">
        <v>0.15</v>
      </c>
      <c r="D341" s="1065">
        <v>0.15</v>
      </c>
      <c r="E341" s="1065">
        <v>0.15</v>
      </c>
      <c r="F341" s="1066">
        <v>0.15</v>
      </c>
    </row>
    <row r="342" spans="1:6" ht="14.25" thickBot="1">
      <c r="A342" s="840" t="s">
        <v>1021</v>
      </c>
      <c r="B342" s="834" t="s">
        <v>1026</v>
      </c>
      <c r="C342" s="1065">
        <v>0.15</v>
      </c>
      <c r="D342" s="1065">
        <v>0.15</v>
      </c>
      <c r="E342" s="1065">
        <v>0.15</v>
      </c>
      <c r="F342" s="1066">
        <v>0.15</v>
      </c>
    </row>
    <row r="343" spans="1:6" ht="14.25" thickBot="1">
      <c r="A343" s="840" t="s">
        <v>1021</v>
      </c>
      <c r="B343" s="834" t="s">
        <v>1027</v>
      </c>
      <c r="C343" s="1065">
        <v>0.15</v>
      </c>
      <c r="D343" s="1065">
        <v>0.15</v>
      </c>
      <c r="E343" s="1065">
        <v>0.15</v>
      </c>
      <c r="F343" s="1066">
        <v>0.15</v>
      </c>
    </row>
    <row r="344" spans="1:6" ht="14.25" thickBot="1">
      <c r="A344" s="850" t="s">
        <v>1021</v>
      </c>
      <c r="B344" s="846"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43293</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37" sqref="B3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7.625" style="403" customWidth="1"/>
    <col min="6" max="6" width="12.25" style="403" customWidth="1"/>
    <col min="7" max="7" width="16.87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58" t="s">
        <v>2674</v>
      </c>
      <c r="C1" s="1620" t="s">
        <v>2518</v>
      </c>
      <c r="D1" s="1621" t="s">
        <v>3056</v>
      </c>
      <c r="E1" s="1630"/>
      <c r="F1" s="2573" t="s">
        <v>3110</v>
      </c>
      <c r="G1" s="1631" t="s">
        <v>2520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2955" t="s">
        <v>1394</v>
      </c>
      <c r="B2" s="1419">
        <f>IF(C2="——",ROUND(C50*D3/10000,0),ROUND(C50*D3/10000,0)-D2)</f>
        <v>1</v>
      </c>
      <c r="C2" s="2956" t="s">
        <v>70</v>
      </c>
      <c r="D2" s="1366" t="e">
        <f ca="1">SUMIF(INDIRECT("'"&amp;F2&amp;"'"&amp;"!A:A"),"承租人权益价值",INDIRECT("'"&amp;F2&amp;"'"&amp;"!c:c"))</f>
        <v>#REF!</v>
      </c>
      <c r="E2" s="2957" t="s">
        <v>2316</v>
      </c>
      <c r="F2" s="2958"/>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954" t="s">
        <v>1395</v>
      </c>
      <c r="B3" s="609">
        <f>IF(C2="——",C50,ROUND(B2*10000/D3,0))</f>
        <v>3.5</v>
      </c>
      <c r="C3" s="400" t="s">
        <v>2522</v>
      </c>
      <c r="D3" s="399">
        <f>IF(D1="",'数据-汇总表'!E3,SUMIF('数据-汇总表'!$C19:$C33,D1,'数据-汇总表'!$E19:$E33))</f>
        <v>1812.99</v>
      </c>
      <c r="E3" s="2652"/>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2523</v>
      </c>
      <c r="B4" s="402"/>
      <c r="C4" s="3197" t="s">
        <v>2524</v>
      </c>
      <c r="D4" s="3198"/>
      <c r="E4" s="3199" t="s">
        <v>2525</v>
      </c>
      <c r="F4" s="3200"/>
      <c r="G4" s="3197" t="s">
        <v>2526</v>
      </c>
      <c r="H4" s="3198"/>
      <c r="I4" s="3197" t="s">
        <v>2527</v>
      </c>
      <c r="J4" s="3198"/>
      <c r="K4" s="610" t="s">
        <v>2528</v>
      </c>
      <c r="L4" s="1131"/>
      <c r="M4" s="1132"/>
      <c r="N4" s="1132"/>
      <c r="O4" s="1132"/>
      <c r="P4" s="3201" t="s">
        <v>2529</v>
      </c>
      <c r="Q4" s="3202"/>
      <c r="R4" s="3179" t="s">
        <v>2525</v>
      </c>
      <c r="S4" s="3180"/>
      <c r="T4" s="3179" t="s">
        <v>2526</v>
      </c>
      <c r="U4" s="3180"/>
      <c r="V4" s="3209" t="s">
        <v>2527</v>
      </c>
      <c r="W4" s="3209"/>
      <c r="X4" s="2939"/>
      <c r="Y4" s="3179" t="s">
        <v>2529</v>
      </c>
      <c r="Z4" s="3180"/>
      <c r="AA4" s="3174" t="s">
        <v>2525</v>
      </c>
      <c r="AB4" s="3174" t="s">
        <v>2526</v>
      </c>
      <c r="AC4" s="3194" t="s">
        <v>2527</v>
      </c>
    </row>
    <row r="5" spans="1:29" ht="15">
      <c r="A5" s="404"/>
      <c r="B5" s="405"/>
      <c r="C5" s="3185" t="s">
        <v>3060</v>
      </c>
      <c r="D5" s="3186"/>
      <c r="E5" s="3183" t="s">
        <v>3104</v>
      </c>
      <c r="F5" s="3184"/>
      <c r="G5" s="3189" t="str">
        <f>E5</f>
        <v>总部基地</v>
      </c>
      <c r="H5" s="3186"/>
      <c r="I5" s="3189" t="str">
        <f>E5</f>
        <v>总部基地</v>
      </c>
      <c r="J5" s="3186"/>
      <c r="K5" s="610"/>
      <c r="L5" s="1131"/>
      <c r="M5" s="1132"/>
      <c r="N5" s="1132"/>
      <c r="O5" s="1132"/>
      <c r="P5" s="3203"/>
      <c r="Q5" s="3204"/>
      <c r="R5" s="3181"/>
      <c r="S5" s="3182"/>
      <c r="T5" s="3181"/>
      <c r="U5" s="3182"/>
      <c r="V5" s="3210"/>
      <c r="W5" s="3210"/>
      <c r="X5" s="2937"/>
      <c r="Y5" s="3181"/>
      <c r="Z5" s="3182"/>
      <c r="AA5" s="3175"/>
      <c r="AB5" s="3175"/>
      <c r="AC5" s="3195"/>
    </row>
    <row r="6" spans="1:29" ht="15.75" thickBot="1">
      <c r="A6" s="406"/>
      <c r="B6" s="407"/>
      <c r="C6" s="3187" t="s">
        <v>3061</v>
      </c>
      <c r="D6" s="3188"/>
      <c r="E6" s="3190" t="s">
        <v>2534</v>
      </c>
      <c r="F6" s="3191"/>
      <c r="G6" s="3192" t="s">
        <v>2534</v>
      </c>
      <c r="H6" s="3188"/>
      <c r="I6" s="3192" t="s">
        <v>2534</v>
      </c>
      <c r="J6" s="3188"/>
      <c r="K6" s="610" t="s">
        <v>2535</v>
      </c>
      <c r="L6" s="1131"/>
      <c r="M6" s="1132"/>
      <c r="N6" s="1132"/>
      <c r="O6" s="1132"/>
      <c r="P6" s="3205"/>
      <c r="Q6" s="3206"/>
      <c r="R6" s="3181"/>
      <c r="S6" s="3182"/>
      <c r="T6" s="3207"/>
      <c r="U6" s="3208"/>
      <c r="V6" s="3210"/>
      <c r="W6" s="3210"/>
      <c r="X6" s="2937"/>
      <c r="Y6" s="3207"/>
      <c r="Z6" s="3208"/>
      <c r="AA6" s="3176"/>
      <c r="AB6" s="3176"/>
      <c r="AC6" s="3196"/>
    </row>
    <row r="7" spans="1:29" s="117" customFormat="1" ht="15.75" thickBot="1">
      <c r="A7" s="408" t="s">
        <v>2536</v>
      </c>
      <c r="B7" s="409"/>
      <c r="C7" s="410">
        <f>'数据-取费表'!B2</f>
        <v>43293</v>
      </c>
      <c r="D7" s="411">
        <v>100</v>
      </c>
      <c r="E7" s="412">
        <v>43286</v>
      </c>
      <c r="F7" s="413">
        <f>SUMIF(59:59,YEAR(E7)&amp;"-"&amp;MONTH(E7),60:60)</f>
        <v>100</v>
      </c>
      <c r="G7" s="412">
        <v>43283</v>
      </c>
      <c r="H7" s="411">
        <f>SUMIF(59:59,YEAR(G7)&amp;"-"&amp;MONTH(G7),60:60)</f>
        <v>100</v>
      </c>
      <c r="I7" s="412">
        <v>43282</v>
      </c>
      <c r="J7" s="411">
        <f>SUMIF(59:59,YEAR(I7)&amp;"-"&amp;MONTH(I7),60:60)</f>
        <v>100</v>
      </c>
      <c r="K7" s="611"/>
      <c r="L7" s="1133"/>
      <c r="M7" s="1134"/>
      <c r="N7" s="1134"/>
      <c r="O7" s="1134"/>
      <c r="P7" s="3211" t="s">
        <v>2537</v>
      </c>
      <c r="Q7" s="3212"/>
      <c r="R7" s="770" t="s">
        <v>17</v>
      </c>
      <c r="S7" s="771">
        <f t="shared" ref="S7:S15" si="0">F7</f>
        <v>100</v>
      </c>
      <c r="T7" s="770" t="s">
        <v>17</v>
      </c>
      <c r="U7" s="771">
        <f t="shared" ref="U7:U15" si="1">H7</f>
        <v>100</v>
      </c>
      <c r="V7" s="770" t="s">
        <v>17</v>
      </c>
      <c r="W7" s="771">
        <f t="shared" ref="W7:W15" si="2">J7</f>
        <v>100</v>
      </c>
      <c r="X7" s="772"/>
      <c r="Y7" s="3177" t="s">
        <v>2537</v>
      </c>
      <c r="Z7" s="3178"/>
      <c r="AA7" s="773">
        <f>D7/F7</f>
        <v>1</v>
      </c>
      <c r="AB7" s="773">
        <f>D7/H7</f>
        <v>1</v>
      </c>
      <c r="AC7" s="2660">
        <f>D7/J7</f>
        <v>1</v>
      </c>
    </row>
    <row r="8" spans="1:29" s="117" customFormat="1" ht="15.75" thickBot="1">
      <c r="A8" s="408" t="s">
        <v>2538</v>
      </c>
      <c r="B8" s="409"/>
      <c r="C8" s="414" t="s">
        <v>2575</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211" t="s">
        <v>2540</v>
      </c>
      <c r="Q8" s="3178"/>
      <c r="R8" s="770" t="s">
        <v>17</v>
      </c>
      <c r="S8" s="771">
        <f t="shared" si="0"/>
        <v>100</v>
      </c>
      <c r="T8" s="770" t="s">
        <v>17</v>
      </c>
      <c r="U8" s="771">
        <f t="shared" si="1"/>
        <v>100</v>
      </c>
      <c r="V8" s="770" t="s">
        <v>17</v>
      </c>
      <c r="W8" s="771">
        <f t="shared" si="2"/>
        <v>100</v>
      </c>
      <c r="X8" s="772"/>
      <c r="Y8" s="3177" t="s">
        <v>2540</v>
      </c>
      <c r="Z8" s="3178"/>
      <c r="AA8" s="773">
        <f t="shared" ref="AA8:AA47" si="3">D8/F8</f>
        <v>1</v>
      </c>
      <c r="AB8" s="773">
        <f t="shared" ref="AB8:AB47" si="4">D8/H8</f>
        <v>1</v>
      </c>
      <c r="AC8" s="2660">
        <f t="shared" ref="AC8:AC47" si="5">D8/J8</f>
        <v>1</v>
      </c>
    </row>
    <row r="9" spans="1:29" s="117" customFormat="1">
      <c r="A9" s="415" t="s">
        <v>2541</v>
      </c>
      <c r="B9" s="71" t="s">
        <v>2542</v>
      </c>
      <c r="C9" s="2944" t="s">
        <v>3062</v>
      </c>
      <c r="D9" s="135">
        <v>100</v>
      </c>
      <c r="E9" s="419" t="s">
        <v>6</v>
      </c>
      <c r="F9" s="135">
        <f>SUMIF(64:64,E9,65:65)-SUMIF(64:64,C9,65:65)+100</f>
        <v>100</v>
      </c>
      <c r="G9" s="417" t="s">
        <v>6</v>
      </c>
      <c r="H9" s="135">
        <f>SUMIF(64:64,G9,65:65)-SUMIF(64:64,C9,65:65)+100</f>
        <v>100</v>
      </c>
      <c r="I9" s="417" t="s">
        <v>6</v>
      </c>
      <c r="J9" s="135">
        <f>SUMIF(64:64,I9,65:65)-SUMIF(64:64,C9,65:65)+100</f>
        <v>100</v>
      </c>
      <c r="K9" s="611"/>
      <c r="L9" s="1133"/>
      <c r="M9" s="1134"/>
      <c r="N9" s="1134"/>
      <c r="O9" s="1134"/>
      <c r="P9" s="3193" t="s">
        <v>2543</v>
      </c>
      <c r="Q9" s="2931" t="str">
        <f t="shared" ref="Q9:Q15" si="6">B9</f>
        <v>用途</v>
      </c>
      <c r="R9" s="770" t="s">
        <v>17</v>
      </c>
      <c r="S9" s="771">
        <f t="shared" si="0"/>
        <v>100</v>
      </c>
      <c r="T9" s="770" t="s">
        <v>17</v>
      </c>
      <c r="U9" s="771">
        <f t="shared" si="1"/>
        <v>100</v>
      </c>
      <c r="V9" s="770" t="s">
        <v>17</v>
      </c>
      <c r="W9" s="771">
        <f t="shared" si="2"/>
        <v>100</v>
      </c>
      <c r="X9" s="772"/>
      <c r="Y9" s="3046" t="s">
        <v>2544</v>
      </c>
      <c r="Z9" s="2932" t="str">
        <f t="shared" ref="Z9:Z15" si="7">Q9</f>
        <v>用途</v>
      </c>
      <c r="AA9" s="773">
        <f t="shared" si="3"/>
        <v>1</v>
      </c>
      <c r="AB9" s="773">
        <f t="shared" si="4"/>
        <v>1</v>
      </c>
      <c r="AC9" s="2660">
        <f t="shared" si="5"/>
        <v>1</v>
      </c>
    </row>
    <row r="10" spans="1:29" s="427" customFormat="1" ht="27.75" thickBot="1">
      <c r="A10" s="421"/>
      <c r="B10" s="2933" t="s">
        <v>2545</v>
      </c>
      <c r="C10" s="423" t="s">
        <v>3064</v>
      </c>
      <c r="D10" s="136">
        <v>100</v>
      </c>
      <c r="E10" s="423" t="s">
        <v>3064</v>
      </c>
      <c r="F10" s="136">
        <f>SUMIF(66:66,E10,67:67)-SUMIF(66:66,C10,67:67)+100</f>
        <v>100</v>
      </c>
      <c r="G10" s="424" t="s">
        <v>3064</v>
      </c>
      <c r="H10" s="136">
        <f>SUMIF(66:66,G10,67:67)-SUMIF(66:66,C10,67:67)+100</f>
        <v>100</v>
      </c>
      <c r="I10" s="423" t="s">
        <v>3064</v>
      </c>
      <c r="J10" s="136">
        <f>SUMIF(66:66,I10,67:67)-SUMIF(66:66,C10,67:67)+100</f>
        <v>100</v>
      </c>
      <c r="K10" s="612">
        <v>2</v>
      </c>
      <c r="L10" s="1136"/>
      <c r="M10" s="1137"/>
      <c r="N10" s="1137"/>
      <c r="O10" s="1137"/>
      <c r="P10" s="3193"/>
      <c r="Q10" s="2931" t="str">
        <f t="shared" si="6"/>
        <v>土地使用年限（年）</v>
      </c>
      <c r="R10" s="770" t="s">
        <v>17</v>
      </c>
      <c r="S10" s="771">
        <f t="shared" si="0"/>
        <v>100</v>
      </c>
      <c r="T10" s="770" t="s">
        <v>17</v>
      </c>
      <c r="U10" s="771">
        <f t="shared" si="1"/>
        <v>100</v>
      </c>
      <c r="V10" s="770" t="s">
        <v>17</v>
      </c>
      <c r="W10" s="771">
        <f t="shared" si="2"/>
        <v>100</v>
      </c>
      <c r="X10" s="772"/>
      <c r="Y10" s="3046"/>
      <c r="Z10" s="2932" t="str">
        <f t="shared" si="7"/>
        <v>土地使用年限（年）</v>
      </c>
      <c r="AA10" s="773">
        <f t="shared" si="3"/>
        <v>1</v>
      </c>
      <c r="AB10" s="773">
        <f t="shared" si="4"/>
        <v>1</v>
      </c>
      <c r="AC10" s="2660">
        <f t="shared" si="5"/>
        <v>1</v>
      </c>
    </row>
    <row r="11" spans="1:29" ht="15.75" hidden="1" thickBot="1">
      <c r="A11" s="428"/>
      <c r="B11" s="2933"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39"/>
      <c r="M11" s="1132"/>
      <c r="N11" s="1132"/>
      <c r="O11" s="1132"/>
      <c r="P11" s="3193"/>
      <c r="Q11" s="2931" t="str">
        <f t="shared" si="6"/>
        <v>容积率</v>
      </c>
      <c r="R11" s="770" t="s">
        <v>17</v>
      </c>
      <c r="S11" s="771">
        <f t="shared" si="0"/>
        <v>100</v>
      </c>
      <c r="T11" s="770" t="s">
        <v>17</v>
      </c>
      <c r="U11" s="771">
        <f t="shared" si="1"/>
        <v>100</v>
      </c>
      <c r="V11" s="770" t="s">
        <v>17</v>
      </c>
      <c r="W11" s="771">
        <f t="shared" si="2"/>
        <v>100</v>
      </c>
      <c r="X11" s="772"/>
      <c r="Y11" s="3046"/>
      <c r="Z11" s="2932" t="str">
        <f t="shared" si="7"/>
        <v>容积率</v>
      </c>
      <c r="AA11" s="773">
        <f t="shared" si="3"/>
        <v>1</v>
      </c>
      <c r="AB11" s="773">
        <f t="shared" si="4"/>
        <v>1</v>
      </c>
      <c r="AC11" s="2660">
        <f t="shared" si="5"/>
        <v>1</v>
      </c>
    </row>
    <row r="12" spans="1:29" s="117" customFormat="1" ht="15.75" hidden="1" thickBot="1">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3"/>
      <c r="M12" s="1134"/>
      <c r="N12" s="1134"/>
      <c r="O12" s="1134"/>
      <c r="P12" s="3193"/>
      <c r="Q12" s="2931">
        <f t="shared" si="6"/>
        <v>111</v>
      </c>
      <c r="R12" s="770" t="s">
        <v>17</v>
      </c>
      <c r="S12" s="771">
        <f t="shared" si="0"/>
        <v>100</v>
      </c>
      <c r="T12" s="770" t="s">
        <v>17</v>
      </c>
      <c r="U12" s="771">
        <f t="shared" si="1"/>
        <v>100</v>
      </c>
      <c r="V12" s="770" t="s">
        <v>17</v>
      </c>
      <c r="W12" s="771">
        <f t="shared" si="2"/>
        <v>100</v>
      </c>
      <c r="X12" s="772"/>
      <c r="Y12" s="3046"/>
      <c r="Z12" s="2932">
        <f t="shared" si="7"/>
        <v>111</v>
      </c>
      <c r="AA12" s="773">
        <f>D12/F12</f>
        <v>1</v>
      </c>
      <c r="AB12" s="773">
        <f>D12/H12</f>
        <v>1</v>
      </c>
      <c r="AC12" s="2660">
        <f>D12/J12</f>
        <v>1</v>
      </c>
    </row>
    <row r="13" spans="1:29" ht="15.75" hidden="1" thickBot="1">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41"/>
      <c r="M13" s="1132"/>
      <c r="N13" s="1132"/>
      <c r="O13" s="1132"/>
      <c r="P13" s="3193"/>
      <c r="Q13" s="2931">
        <f t="shared" si="6"/>
        <v>111</v>
      </c>
      <c r="R13" s="770" t="s">
        <v>17</v>
      </c>
      <c r="S13" s="771">
        <f t="shared" si="0"/>
        <v>100</v>
      </c>
      <c r="T13" s="770" t="s">
        <v>17</v>
      </c>
      <c r="U13" s="771">
        <f t="shared" si="1"/>
        <v>100</v>
      </c>
      <c r="V13" s="770" t="s">
        <v>17</v>
      </c>
      <c r="W13" s="771">
        <f t="shared" si="2"/>
        <v>100</v>
      </c>
      <c r="X13" s="772"/>
      <c r="Y13" s="3046"/>
      <c r="Z13" s="2932">
        <f t="shared" si="7"/>
        <v>111</v>
      </c>
      <c r="AA13" s="773">
        <f t="shared" si="3"/>
        <v>1</v>
      </c>
      <c r="AB13" s="773">
        <f t="shared" si="4"/>
        <v>1</v>
      </c>
      <c r="AC13" s="2660">
        <f t="shared" si="5"/>
        <v>1</v>
      </c>
    </row>
    <row r="14" spans="1:29" ht="15.75" hidden="1"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41"/>
      <c r="M14" s="1132"/>
      <c r="N14" s="1132"/>
      <c r="O14" s="1132"/>
      <c r="P14" s="3193"/>
      <c r="Q14" s="2931">
        <f t="shared" si="6"/>
        <v>111</v>
      </c>
      <c r="R14" s="770" t="s">
        <v>17</v>
      </c>
      <c r="S14" s="771">
        <f t="shared" si="0"/>
        <v>100</v>
      </c>
      <c r="T14" s="770" t="s">
        <v>17</v>
      </c>
      <c r="U14" s="771">
        <f t="shared" si="1"/>
        <v>100</v>
      </c>
      <c r="V14" s="770" t="s">
        <v>17</v>
      </c>
      <c r="W14" s="771">
        <f t="shared" si="2"/>
        <v>100</v>
      </c>
      <c r="X14" s="772"/>
      <c r="Y14" s="3046"/>
      <c r="Z14" s="2932">
        <f t="shared" si="7"/>
        <v>111</v>
      </c>
      <c r="AA14" s="773">
        <f t="shared" si="3"/>
        <v>1</v>
      </c>
      <c r="AB14" s="773">
        <f t="shared" si="4"/>
        <v>1</v>
      </c>
      <c r="AC14" s="2660">
        <f t="shared" si="5"/>
        <v>1</v>
      </c>
    </row>
    <row r="15" spans="1:29" ht="103.5" customHeight="1">
      <c r="A15" s="440" t="s">
        <v>2547</v>
      </c>
      <c r="B15" s="629" t="s">
        <v>2675</v>
      </c>
      <c r="C15" s="2662"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13" t="s">
        <v>2548</v>
      </c>
      <c r="Q15" s="2935" t="str">
        <f t="shared" si="6"/>
        <v>办公集聚程度</v>
      </c>
      <c r="R15" s="774" t="s">
        <v>17</v>
      </c>
      <c r="S15" s="775">
        <f t="shared" si="0"/>
        <v>100</v>
      </c>
      <c r="T15" s="774" t="s">
        <v>17</v>
      </c>
      <c r="U15" s="775">
        <f t="shared" si="1"/>
        <v>100</v>
      </c>
      <c r="V15" s="774" t="s">
        <v>17</v>
      </c>
      <c r="W15" s="775">
        <f t="shared" si="2"/>
        <v>100</v>
      </c>
      <c r="X15" s="2937"/>
      <c r="Y15" s="3215" t="s">
        <v>2548</v>
      </c>
      <c r="Z15" s="2938" t="str">
        <f t="shared" si="7"/>
        <v>办公集聚程度</v>
      </c>
      <c r="AA15" s="2936">
        <f t="shared" si="3"/>
        <v>1</v>
      </c>
      <c r="AB15" s="2936">
        <f t="shared" si="4"/>
        <v>1</v>
      </c>
      <c r="AC15" s="2663">
        <f t="shared" si="5"/>
        <v>1</v>
      </c>
    </row>
    <row r="16" spans="1:29" ht="15">
      <c r="A16" s="428"/>
      <c r="B16" s="630"/>
      <c r="C16" s="2600" t="s">
        <v>3077</v>
      </c>
      <c r="D16" s="448"/>
      <c r="E16" s="447" t="s">
        <v>3077</v>
      </c>
      <c r="F16" s="448"/>
      <c r="G16" s="2600" t="s">
        <v>3077</v>
      </c>
      <c r="H16" s="450"/>
      <c r="I16" s="447" t="s">
        <v>3077</v>
      </c>
      <c r="J16" s="448"/>
      <c r="K16" s="615"/>
      <c r="L16" s="1141"/>
      <c r="M16" s="1132"/>
      <c r="N16" s="1132"/>
      <c r="O16" s="1132"/>
      <c r="P16" s="3214"/>
      <c r="Q16" s="2935"/>
      <c r="R16" s="774"/>
      <c r="S16" s="775"/>
      <c r="T16" s="774"/>
      <c r="U16" s="775"/>
      <c r="V16" s="774"/>
      <c r="W16" s="775"/>
      <c r="X16" s="2937"/>
      <c r="Y16" s="3216"/>
      <c r="Z16" s="2938"/>
      <c r="AA16" s="2936">
        <v>1</v>
      </c>
      <c r="AB16" s="2936">
        <v>1</v>
      </c>
      <c r="AC16" s="2663">
        <v>1</v>
      </c>
    </row>
    <row r="17" spans="1:29" ht="117.75" customHeight="1">
      <c r="A17" s="428"/>
      <c r="B17" s="631" t="s">
        <v>2089</v>
      </c>
      <c r="C17" s="2664"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14"/>
      <c r="Q17" s="2935" t="str">
        <f>B17</f>
        <v>交通便捷度</v>
      </c>
      <c r="R17" s="774" t="s">
        <v>17</v>
      </c>
      <c r="S17" s="775">
        <f>F17</f>
        <v>100</v>
      </c>
      <c r="T17" s="774" t="s">
        <v>17</v>
      </c>
      <c r="U17" s="775">
        <f>H17</f>
        <v>100</v>
      </c>
      <c r="V17" s="774" t="s">
        <v>17</v>
      </c>
      <c r="W17" s="775">
        <f>J17</f>
        <v>100</v>
      </c>
      <c r="X17" s="2937"/>
      <c r="Y17" s="3216"/>
      <c r="Z17" s="2938" t="str">
        <f>Q17</f>
        <v>交通便捷度</v>
      </c>
      <c r="AA17" s="2936">
        <f t="shared" si="3"/>
        <v>1</v>
      </c>
      <c r="AB17" s="2936">
        <f t="shared" si="4"/>
        <v>1</v>
      </c>
      <c r="AC17" s="2663">
        <f t="shared" si="5"/>
        <v>1</v>
      </c>
    </row>
    <row r="18" spans="1:29" ht="15">
      <c r="A18" s="428"/>
      <c r="B18" s="632"/>
      <c r="C18" s="2665" t="s">
        <v>3077</v>
      </c>
      <c r="D18" s="450"/>
      <c r="E18" s="2598" t="s">
        <v>3077</v>
      </c>
      <c r="F18" s="450"/>
      <c r="G18" s="2599" t="s">
        <v>3077</v>
      </c>
      <c r="H18" s="448"/>
      <c r="I18" s="2599" t="s">
        <v>3077</v>
      </c>
      <c r="J18" s="448"/>
      <c r="K18" s="615"/>
      <c r="L18" s="1141"/>
      <c r="M18" s="1132"/>
      <c r="N18" s="1132"/>
      <c r="O18" s="1132"/>
      <c r="P18" s="3214"/>
      <c r="Q18" s="2935"/>
      <c r="R18" s="774"/>
      <c r="S18" s="775"/>
      <c r="T18" s="774"/>
      <c r="U18" s="775"/>
      <c r="V18" s="774"/>
      <c r="W18" s="775"/>
      <c r="X18" s="2937"/>
      <c r="Y18" s="3216"/>
      <c r="Z18" s="2938"/>
      <c r="AA18" s="2936">
        <v>1</v>
      </c>
      <c r="AB18" s="2936">
        <v>1</v>
      </c>
      <c r="AC18" s="2663">
        <v>1</v>
      </c>
    </row>
    <row r="19" spans="1:29" ht="87.75" customHeight="1">
      <c r="A19" s="428"/>
      <c r="B19" s="631" t="s">
        <v>2676</v>
      </c>
      <c r="C19" s="2664"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14"/>
      <c r="Q19" s="2935" t="str">
        <f>B19</f>
        <v>公共配套设施</v>
      </c>
      <c r="R19" s="774" t="s">
        <v>17</v>
      </c>
      <c r="S19" s="775">
        <f>F19</f>
        <v>100</v>
      </c>
      <c r="T19" s="774" t="s">
        <v>17</v>
      </c>
      <c r="U19" s="775">
        <f>H19</f>
        <v>100</v>
      </c>
      <c r="V19" s="774" t="s">
        <v>17</v>
      </c>
      <c r="W19" s="775">
        <f>J19</f>
        <v>100</v>
      </c>
      <c r="X19" s="2937"/>
      <c r="Y19" s="3216"/>
      <c r="Z19" s="2938" t="str">
        <f>Q19</f>
        <v>公共配套设施</v>
      </c>
      <c r="AA19" s="2936">
        <f t="shared" si="3"/>
        <v>1</v>
      </c>
      <c r="AB19" s="2936">
        <f t="shared" si="4"/>
        <v>1</v>
      </c>
      <c r="AC19" s="2663">
        <f t="shared" si="5"/>
        <v>1</v>
      </c>
    </row>
    <row r="20" spans="1:29" ht="15">
      <c r="A20" s="428"/>
      <c r="B20" s="632"/>
      <c r="C20" s="2600" t="s">
        <v>3077</v>
      </c>
      <c r="D20" s="448"/>
      <c r="E20" s="2593" t="s">
        <v>3077</v>
      </c>
      <c r="F20" s="448"/>
      <c r="G20" s="2594" t="s">
        <v>3077</v>
      </c>
      <c r="H20" s="448"/>
      <c r="I20" s="2594" t="s">
        <v>3077</v>
      </c>
      <c r="J20" s="448"/>
      <c r="K20" s="615"/>
      <c r="L20" s="1141"/>
      <c r="M20" s="1132"/>
      <c r="N20" s="1132"/>
      <c r="O20" s="1132"/>
      <c r="P20" s="3214"/>
      <c r="Q20" s="2935"/>
      <c r="R20" s="774"/>
      <c r="S20" s="775"/>
      <c r="T20" s="774"/>
      <c r="U20" s="775"/>
      <c r="V20" s="774"/>
      <c r="W20" s="775"/>
      <c r="X20" s="2937"/>
      <c r="Y20" s="3216"/>
      <c r="Z20" s="2938"/>
      <c r="AA20" s="2936">
        <v>1</v>
      </c>
      <c r="AB20" s="2936">
        <v>1</v>
      </c>
      <c r="AC20" s="2663">
        <v>1</v>
      </c>
    </row>
    <row r="21" spans="1:29" ht="28.5">
      <c r="A21" s="428"/>
      <c r="B21" s="633" t="s">
        <v>2677</v>
      </c>
      <c r="C21" s="2664"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214"/>
      <c r="Q21" s="2935" t="str">
        <f>B21</f>
        <v>基础设施水平</v>
      </c>
      <c r="R21" s="774" t="s">
        <v>17</v>
      </c>
      <c r="S21" s="775">
        <f>F21</f>
        <v>100</v>
      </c>
      <c r="T21" s="774" t="s">
        <v>17</v>
      </c>
      <c r="U21" s="775">
        <f>H21</f>
        <v>100</v>
      </c>
      <c r="V21" s="774" t="s">
        <v>17</v>
      </c>
      <c r="W21" s="775">
        <f>J21</f>
        <v>100</v>
      </c>
      <c r="X21" s="2937"/>
      <c r="Y21" s="3216"/>
      <c r="Z21" s="2938" t="str">
        <f>Q21</f>
        <v>基础设施水平</v>
      </c>
      <c r="AA21" s="2936">
        <f t="shared" ref="AA21" si="8">D21/F21</f>
        <v>1</v>
      </c>
      <c r="AB21" s="2936">
        <f t="shared" ref="AB21" si="9">D21/H21</f>
        <v>1</v>
      </c>
      <c r="AC21" s="2663">
        <f t="shared" ref="AC21" si="10">D21/J21</f>
        <v>1</v>
      </c>
    </row>
    <row r="22" spans="1:29" ht="15">
      <c r="A22" s="428"/>
      <c r="B22" s="633"/>
      <c r="C22" s="2665" t="s">
        <v>3078</v>
      </c>
      <c r="D22" s="448"/>
      <c r="E22" s="447" t="s">
        <v>3078</v>
      </c>
      <c r="F22" s="448"/>
      <c r="G22" s="447" t="s">
        <v>3078</v>
      </c>
      <c r="H22" s="448"/>
      <c r="I22" s="447" t="s">
        <v>3078</v>
      </c>
      <c r="J22" s="448"/>
      <c r="K22" s="1384"/>
      <c r="L22" s="1141"/>
      <c r="M22" s="1132"/>
      <c r="N22" s="1132"/>
      <c r="O22" s="1132"/>
      <c r="P22" s="3214"/>
      <c r="Q22" s="2935"/>
      <c r="R22" s="774"/>
      <c r="S22" s="775"/>
      <c r="T22" s="774"/>
      <c r="U22" s="775"/>
      <c r="V22" s="774"/>
      <c r="W22" s="775"/>
      <c r="X22" s="2937"/>
      <c r="Y22" s="3216"/>
      <c r="Z22" s="2938"/>
      <c r="AA22" s="2936">
        <v>1</v>
      </c>
      <c r="AB22" s="2936">
        <v>1</v>
      </c>
      <c r="AC22" s="2663">
        <v>1</v>
      </c>
    </row>
    <row r="23" spans="1:29" ht="76.5" customHeight="1">
      <c r="A23" s="428"/>
      <c r="B23" s="631" t="s">
        <v>2678</v>
      </c>
      <c r="C23" s="2664"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14"/>
      <c r="Q23" s="2935" t="str">
        <f>B23</f>
        <v>环境质量</v>
      </c>
      <c r="R23" s="774" t="s">
        <v>17</v>
      </c>
      <c r="S23" s="775">
        <f>F23</f>
        <v>100</v>
      </c>
      <c r="T23" s="774" t="s">
        <v>17</v>
      </c>
      <c r="U23" s="775">
        <f>H23</f>
        <v>100</v>
      </c>
      <c r="V23" s="774" t="s">
        <v>17</v>
      </c>
      <c r="W23" s="775">
        <f>J23</f>
        <v>100</v>
      </c>
      <c r="X23" s="2937"/>
      <c r="Y23" s="3216"/>
      <c r="Z23" s="2938" t="str">
        <f>Q23</f>
        <v>环境质量</v>
      </c>
      <c r="AA23" s="2936">
        <f t="shared" si="3"/>
        <v>1</v>
      </c>
      <c r="AB23" s="2936">
        <f t="shared" si="4"/>
        <v>1</v>
      </c>
      <c r="AC23" s="2663">
        <f t="shared" si="5"/>
        <v>1</v>
      </c>
    </row>
    <row r="24" spans="1:29" ht="15">
      <c r="A24" s="428"/>
      <c r="B24" s="633"/>
      <c r="C24" s="2600" t="s">
        <v>3118</v>
      </c>
      <c r="D24" s="448"/>
      <c r="E24" s="2593" t="s">
        <v>3118</v>
      </c>
      <c r="F24" s="448"/>
      <c r="G24" s="2594" t="s">
        <v>3118</v>
      </c>
      <c r="H24" s="448"/>
      <c r="I24" s="2594" t="s">
        <v>3118</v>
      </c>
      <c r="J24" s="448"/>
      <c r="K24" s="615"/>
      <c r="L24" s="1141"/>
      <c r="M24" s="1132"/>
      <c r="N24" s="1132"/>
      <c r="O24" s="1132"/>
      <c r="P24" s="3214"/>
      <c r="Q24" s="2935"/>
      <c r="R24" s="774"/>
      <c r="S24" s="775"/>
      <c r="T24" s="774"/>
      <c r="U24" s="775"/>
      <c r="V24" s="774"/>
      <c r="W24" s="775"/>
      <c r="X24" s="2937"/>
      <c r="Y24" s="3216"/>
      <c r="Z24" s="2938"/>
      <c r="AA24" s="2936">
        <v>1</v>
      </c>
      <c r="AB24" s="2936">
        <v>1</v>
      </c>
      <c r="AC24" s="2663">
        <v>1</v>
      </c>
    </row>
    <row r="25" spans="1:29" ht="27">
      <c r="A25" s="404"/>
      <c r="B25" s="631" t="s">
        <v>2679</v>
      </c>
      <c r="C25" s="2945" t="s">
        <v>3139</v>
      </c>
      <c r="D25" s="435">
        <v>100</v>
      </c>
      <c r="E25" s="2946" t="s">
        <v>3121</v>
      </c>
      <c r="F25" s="435">
        <f>SUMIF(87:87,E26,88:88)-SUMIF(87:87,C26,88:88)+100</f>
        <v>100</v>
      </c>
      <c r="G25" s="2946" t="s">
        <v>3121</v>
      </c>
      <c r="H25" s="435">
        <f>SUMIF(87:87,G26,88:88)-SUMIF(87:87,C26,88:88)+100</f>
        <v>100</v>
      </c>
      <c r="I25" s="2946" t="s">
        <v>3121</v>
      </c>
      <c r="J25" s="435">
        <f>SUMIF(87:87,I26,88:88)-SUMIF(87:87,C26,88:88)+100</f>
        <v>100</v>
      </c>
      <c r="K25" s="614">
        <v>2</v>
      </c>
      <c r="L25" s="1141"/>
      <c r="M25" s="1132"/>
      <c r="N25" s="1132"/>
      <c r="O25" s="1132"/>
      <c r="P25" s="3214"/>
      <c r="Q25" s="2935" t="str">
        <f>B25</f>
        <v>毗邻道路的类型与等级</v>
      </c>
      <c r="R25" s="774" t="s">
        <v>17</v>
      </c>
      <c r="S25" s="775">
        <f>F25</f>
        <v>100</v>
      </c>
      <c r="T25" s="774" t="s">
        <v>17</v>
      </c>
      <c r="U25" s="775">
        <f>H25</f>
        <v>100</v>
      </c>
      <c r="V25" s="774" t="s">
        <v>17</v>
      </c>
      <c r="W25" s="775">
        <f>J25</f>
        <v>100</v>
      </c>
      <c r="X25" s="2937"/>
      <c r="Y25" s="3216"/>
      <c r="Z25" s="2938" t="str">
        <f>Q25</f>
        <v>毗邻道路的类型与等级</v>
      </c>
      <c r="AA25" s="2936">
        <f t="shared" si="3"/>
        <v>1</v>
      </c>
      <c r="AB25" s="2936">
        <f t="shared" si="4"/>
        <v>1</v>
      </c>
      <c r="AC25" s="2663">
        <f t="shared" si="5"/>
        <v>1</v>
      </c>
    </row>
    <row r="26" spans="1:29" ht="15">
      <c r="A26" s="404"/>
      <c r="B26" s="632"/>
      <c r="C26" s="634" t="s">
        <v>3074</v>
      </c>
      <c r="D26" s="435"/>
      <c r="E26" s="616" t="s">
        <v>3074</v>
      </c>
      <c r="F26" s="435"/>
      <c r="G26" s="634" t="s">
        <v>3074</v>
      </c>
      <c r="H26" s="435"/>
      <c r="I26" s="616" t="s">
        <v>3074</v>
      </c>
      <c r="J26" s="435"/>
      <c r="K26" s="615"/>
      <c r="L26" s="1141"/>
      <c r="M26" s="1132"/>
      <c r="N26" s="1132"/>
      <c r="O26" s="1132"/>
      <c r="P26" s="3214"/>
      <c r="Q26" s="2935"/>
      <c r="R26" s="774"/>
      <c r="S26" s="775"/>
      <c r="T26" s="774"/>
      <c r="U26" s="775"/>
      <c r="V26" s="774"/>
      <c r="W26" s="775"/>
      <c r="X26" s="2937"/>
      <c r="Y26" s="3216"/>
      <c r="Z26" s="2938"/>
      <c r="AA26" s="2936">
        <v>1</v>
      </c>
      <c r="AB26" s="2936">
        <v>1</v>
      </c>
      <c r="AC26" s="2663">
        <v>1</v>
      </c>
    </row>
    <row r="27" spans="1:29" ht="15.75" thickBot="1">
      <c r="A27" s="428"/>
      <c r="B27" s="632" t="s">
        <v>2647</v>
      </c>
      <c r="C27" s="634" t="s">
        <v>3084</v>
      </c>
      <c r="D27" s="435">
        <v>100</v>
      </c>
      <c r="E27" s="616" t="s">
        <v>3084</v>
      </c>
      <c r="F27" s="435">
        <f>SUMIF(89:89,E27,90:90)-SUMIF(89:89,C27,90:90)+100</f>
        <v>100</v>
      </c>
      <c r="G27" s="634" t="s">
        <v>3084</v>
      </c>
      <c r="H27" s="435">
        <f>SUMIF(89:89,G27,90:90)-SUMIF(89:89,C27,90:90)+100</f>
        <v>100</v>
      </c>
      <c r="I27" s="616" t="s">
        <v>3084</v>
      </c>
      <c r="J27" s="435">
        <f>SUMIF(89:89,I27,90:90)-SUMIF(89:89,C27,90:90)+100</f>
        <v>100</v>
      </c>
      <c r="K27" s="612">
        <v>2</v>
      </c>
      <c r="L27" s="1141"/>
      <c r="M27" s="1132"/>
      <c r="N27" s="1132"/>
      <c r="O27" s="1132"/>
      <c r="P27" s="3214"/>
      <c r="Q27" s="2935" t="str">
        <f t="shared" ref="Q27:Q47" si="11">B27</f>
        <v>楼层</v>
      </c>
      <c r="R27" s="774" t="s">
        <v>17</v>
      </c>
      <c r="S27" s="775">
        <f>F27</f>
        <v>100</v>
      </c>
      <c r="T27" s="774" t="s">
        <v>17</v>
      </c>
      <c r="U27" s="775">
        <f>H27</f>
        <v>100</v>
      </c>
      <c r="V27" s="774" t="s">
        <v>17</v>
      </c>
      <c r="W27" s="775">
        <f>J27</f>
        <v>100</v>
      </c>
      <c r="X27" s="2937"/>
      <c r="Y27" s="3216"/>
      <c r="Z27" s="2938" t="str">
        <f>Q27</f>
        <v>楼层</v>
      </c>
      <c r="AA27" s="2936">
        <f t="shared" si="3"/>
        <v>1</v>
      </c>
      <c r="AB27" s="2936">
        <f t="shared" si="4"/>
        <v>1</v>
      </c>
      <c r="AC27" s="2663">
        <f t="shared" si="5"/>
        <v>1</v>
      </c>
    </row>
    <row r="28" spans="1:29" s="117" customFormat="1" ht="15.75" hidden="1" thickBot="1">
      <c r="A28" s="431"/>
      <c r="B28" s="631" t="s">
        <v>2680</v>
      </c>
      <c r="C28" s="2666"/>
      <c r="D28" s="462">
        <v>100</v>
      </c>
      <c r="E28" s="2654"/>
      <c r="F28" s="462">
        <f>SUMIF(91:91,E28,92:92)-SUMIF(91:91,C28,92:92)+100</f>
        <v>100</v>
      </c>
      <c r="G28" s="2666"/>
      <c r="H28" s="462">
        <f>SUMIF(91:91,G28,92:92)-SUMIF(91:91,C28,92:92)+100</f>
        <v>100</v>
      </c>
      <c r="I28" s="2654"/>
      <c r="J28" s="462">
        <f>SUMIF(91:91,I28,92:92)-SUMIF(91:91,C28,92:92)+100</f>
        <v>100</v>
      </c>
      <c r="K28" s="612"/>
      <c r="L28" s="1133"/>
      <c r="M28" s="1134"/>
      <c r="N28" s="1134"/>
      <c r="O28" s="1134"/>
      <c r="P28" s="3214"/>
      <c r="Q28" s="2931" t="str">
        <f t="shared" si="11"/>
        <v>朝向</v>
      </c>
      <c r="R28" s="770" t="s">
        <v>17</v>
      </c>
      <c r="S28" s="771">
        <f>F28</f>
        <v>100</v>
      </c>
      <c r="T28" s="770" t="s">
        <v>17</v>
      </c>
      <c r="U28" s="771">
        <f>H28</f>
        <v>100</v>
      </c>
      <c r="V28" s="770" t="s">
        <v>17</v>
      </c>
      <c r="W28" s="771">
        <f>J28</f>
        <v>100</v>
      </c>
      <c r="X28" s="772"/>
      <c r="Y28" s="3216"/>
      <c r="Z28" s="2932" t="str">
        <f>Q28</f>
        <v>朝向</v>
      </c>
      <c r="AA28" s="2936">
        <f>D28/F28</f>
        <v>1</v>
      </c>
      <c r="AB28" s="2936">
        <f>D28/H28</f>
        <v>1</v>
      </c>
      <c r="AC28" s="2663">
        <f>D28/J28</f>
        <v>1</v>
      </c>
    </row>
    <row r="29" spans="1:29" ht="15.75" hidden="1" thickBot="1">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41"/>
      <c r="M29" s="1132"/>
      <c r="N29" s="1132"/>
      <c r="O29" s="1132"/>
      <c r="P29" s="3214"/>
      <c r="Q29" s="2935">
        <f t="shared" si="11"/>
        <v>111</v>
      </c>
      <c r="R29" s="774" t="s">
        <v>17</v>
      </c>
      <c r="S29" s="775">
        <f t="shared" ref="S29:S47" si="12">F29</f>
        <v>100</v>
      </c>
      <c r="T29" s="774" t="s">
        <v>17</v>
      </c>
      <c r="U29" s="775">
        <f t="shared" ref="U29:U47" si="13">H29</f>
        <v>100</v>
      </c>
      <c r="V29" s="774" t="s">
        <v>17</v>
      </c>
      <c r="W29" s="775">
        <f t="shared" ref="W29:W47" si="14">J29</f>
        <v>100</v>
      </c>
      <c r="X29" s="2937"/>
      <c r="Y29" s="3216"/>
      <c r="Z29" s="2938">
        <f t="shared" ref="Z29:Z47" si="15">Q29</f>
        <v>111</v>
      </c>
      <c r="AA29" s="2936">
        <f t="shared" si="3"/>
        <v>1</v>
      </c>
      <c r="AB29" s="2936">
        <f t="shared" si="4"/>
        <v>1</v>
      </c>
      <c r="AC29" s="2663">
        <f t="shared" si="5"/>
        <v>1</v>
      </c>
    </row>
    <row r="30" spans="1:29" ht="15.75" hidden="1" thickBot="1">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41"/>
      <c r="M30" s="1132"/>
      <c r="N30" s="1132"/>
      <c r="O30" s="1132"/>
      <c r="P30" s="3214"/>
      <c r="Q30" s="2935">
        <f t="shared" si="11"/>
        <v>111</v>
      </c>
      <c r="R30" s="774" t="s">
        <v>17</v>
      </c>
      <c r="S30" s="775">
        <f t="shared" si="12"/>
        <v>100</v>
      </c>
      <c r="T30" s="774" t="s">
        <v>17</v>
      </c>
      <c r="U30" s="775">
        <f t="shared" si="13"/>
        <v>100</v>
      </c>
      <c r="V30" s="774" t="s">
        <v>17</v>
      </c>
      <c r="W30" s="775">
        <f t="shared" si="14"/>
        <v>100</v>
      </c>
      <c r="X30" s="2937"/>
      <c r="Y30" s="3216"/>
      <c r="Z30" s="2938">
        <f t="shared" si="15"/>
        <v>111</v>
      </c>
      <c r="AA30" s="2936">
        <f t="shared" si="3"/>
        <v>1</v>
      </c>
      <c r="AB30" s="2936">
        <f t="shared" si="4"/>
        <v>1</v>
      </c>
      <c r="AC30" s="2663">
        <f t="shared" si="5"/>
        <v>1</v>
      </c>
    </row>
    <row r="31" spans="1:29" ht="15.75" hidden="1" thickBot="1">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41"/>
      <c r="M31" s="1132"/>
      <c r="N31" s="1132"/>
      <c r="O31" s="1132"/>
      <c r="P31" s="3214"/>
      <c r="Q31" s="2935">
        <f t="shared" si="11"/>
        <v>111</v>
      </c>
      <c r="R31" s="774" t="s">
        <v>17</v>
      </c>
      <c r="S31" s="775">
        <f t="shared" si="12"/>
        <v>100</v>
      </c>
      <c r="T31" s="774" t="s">
        <v>17</v>
      </c>
      <c r="U31" s="775">
        <f t="shared" si="13"/>
        <v>100</v>
      </c>
      <c r="V31" s="774" t="s">
        <v>17</v>
      </c>
      <c r="W31" s="775">
        <f t="shared" si="14"/>
        <v>100</v>
      </c>
      <c r="X31" s="2937"/>
      <c r="Y31" s="3216"/>
      <c r="Z31" s="2938">
        <f t="shared" si="15"/>
        <v>111</v>
      </c>
      <c r="AA31" s="2936">
        <f t="shared" si="3"/>
        <v>1</v>
      </c>
      <c r="AB31" s="2936">
        <f t="shared" si="4"/>
        <v>1</v>
      </c>
      <c r="AC31" s="2663">
        <f t="shared" si="5"/>
        <v>1</v>
      </c>
    </row>
    <row r="32" spans="1:29" ht="15.75" hidden="1"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41"/>
      <c r="M32" s="1132"/>
      <c r="N32" s="1132"/>
      <c r="O32" s="1132"/>
      <c r="P32" s="3214"/>
      <c r="Q32" s="2935">
        <f t="shared" si="11"/>
        <v>111</v>
      </c>
      <c r="R32" s="774" t="s">
        <v>17</v>
      </c>
      <c r="S32" s="775">
        <f t="shared" si="12"/>
        <v>100</v>
      </c>
      <c r="T32" s="774" t="s">
        <v>17</v>
      </c>
      <c r="U32" s="775">
        <f t="shared" si="13"/>
        <v>100</v>
      </c>
      <c r="V32" s="774" t="s">
        <v>17</v>
      </c>
      <c r="W32" s="775">
        <f t="shared" si="14"/>
        <v>100</v>
      </c>
      <c r="X32" s="2937"/>
      <c r="Y32" s="3216"/>
      <c r="Z32" s="2938">
        <f t="shared" si="15"/>
        <v>111</v>
      </c>
      <c r="AA32" s="2936">
        <f t="shared" si="3"/>
        <v>1</v>
      </c>
      <c r="AB32" s="2936">
        <f t="shared" si="4"/>
        <v>1</v>
      </c>
      <c r="AC32" s="2663">
        <f t="shared" si="5"/>
        <v>1</v>
      </c>
    </row>
    <row r="33" spans="1:29" ht="15">
      <c r="A33" s="440" t="s">
        <v>2551</v>
      </c>
      <c r="B33" s="71" t="s">
        <v>2681</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41"/>
      <c r="M33" s="1132"/>
      <c r="N33" s="1132"/>
      <c r="O33" s="1132"/>
      <c r="P33" s="3217" t="s">
        <v>2553</v>
      </c>
      <c r="Q33" s="2935" t="str">
        <f t="shared" si="11"/>
        <v>建筑类型</v>
      </c>
      <c r="R33" s="774" t="s">
        <v>17</v>
      </c>
      <c r="S33" s="775">
        <f t="shared" si="12"/>
        <v>100</v>
      </c>
      <c r="T33" s="774" t="s">
        <v>17</v>
      </c>
      <c r="U33" s="775">
        <f t="shared" si="13"/>
        <v>100</v>
      </c>
      <c r="V33" s="774" t="s">
        <v>17</v>
      </c>
      <c r="W33" s="775">
        <f t="shared" si="14"/>
        <v>100</v>
      </c>
      <c r="X33" s="2937"/>
      <c r="Y33" s="3220" t="s">
        <v>2553</v>
      </c>
      <c r="Z33" s="2938" t="str">
        <f t="shared" si="15"/>
        <v>建筑类型</v>
      </c>
      <c r="AA33" s="2936">
        <f t="shared" si="3"/>
        <v>1</v>
      </c>
      <c r="AB33" s="2936">
        <f t="shared" si="4"/>
        <v>1</v>
      </c>
      <c r="AC33" s="2663">
        <f t="shared" si="5"/>
        <v>1</v>
      </c>
    </row>
    <row r="34" spans="1:29" s="471" customFormat="1" ht="15">
      <c r="A34" s="468"/>
      <c r="B34" s="2933" t="s">
        <v>2554</v>
      </c>
      <c r="C34" s="469">
        <f>'数据-基础表'!B3</f>
        <v>1812.99</v>
      </c>
      <c r="D34" s="136">
        <v>100</v>
      </c>
      <c r="E34" s="430">
        <v>1355</v>
      </c>
      <c r="F34" s="425">
        <f>LOOKUP(E34,104:104,105:105)-LOOKUP(C34,104:104,105:105)+100</f>
        <v>102</v>
      </c>
      <c r="G34" s="429">
        <v>1049</v>
      </c>
      <c r="H34" s="136">
        <f>LOOKUP(G34,104:104,105:105)-LOOKUP(C34,104:104,105:105)+100</f>
        <v>102</v>
      </c>
      <c r="I34" s="429">
        <v>1010</v>
      </c>
      <c r="J34" s="136">
        <f>LOOKUP(I34,104:104,105:105)-LOOKUP(C34,104:104,105:105)+100</f>
        <v>102</v>
      </c>
      <c r="K34" s="613"/>
      <c r="L34" s="1139"/>
      <c r="M34" s="1142"/>
      <c r="N34" s="1142"/>
      <c r="O34" s="1142"/>
      <c r="P34" s="3218"/>
      <c r="Q34" s="776" t="str">
        <f t="shared" si="11"/>
        <v>项目建筑规模</v>
      </c>
      <c r="R34" s="777" t="s">
        <v>17</v>
      </c>
      <c r="S34" s="778">
        <f t="shared" si="12"/>
        <v>102</v>
      </c>
      <c r="T34" s="777" t="s">
        <v>17</v>
      </c>
      <c r="U34" s="778">
        <f t="shared" si="13"/>
        <v>102</v>
      </c>
      <c r="V34" s="777" t="s">
        <v>17</v>
      </c>
      <c r="W34" s="778">
        <f t="shared" si="14"/>
        <v>102</v>
      </c>
      <c r="X34" s="779"/>
      <c r="Y34" s="3220"/>
      <c r="Z34" s="780" t="str">
        <f t="shared" si="15"/>
        <v>项目建筑规模</v>
      </c>
      <c r="AA34" s="2936">
        <f t="shared" si="3"/>
        <v>0.98039215686274506</v>
      </c>
      <c r="AB34" s="2936">
        <f t="shared" si="4"/>
        <v>0.98039215686274506</v>
      </c>
      <c r="AC34" s="2663">
        <f t="shared" si="5"/>
        <v>0.98039215686274506</v>
      </c>
    </row>
    <row r="35" spans="1:29" ht="15">
      <c r="A35" s="472"/>
      <c r="B35" s="2933" t="s">
        <v>2555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2</v>
      </c>
      <c r="L35" s="1141"/>
      <c r="M35" s="1132"/>
      <c r="N35" s="1132"/>
      <c r="O35" s="1132"/>
      <c r="P35" s="3218"/>
      <c r="Q35" s="2935" t="str">
        <f t="shared" si="11"/>
        <v>建筑结构</v>
      </c>
      <c r="R35" s="774" t="s">
        <v>17</v>
      </c>
      <c r="S35" s="775">
        <f t="shared" si="12"/>
        <v>100</v>
      </c>
      <c r="T35" s="774" t="s">
        <v>17</v>
      </c>
      <c r="U35" s="775">
        <f t="shared" si="13"/>
        <v>100</v>
      </c>
      <c r="V35" s="774" t="s">
        <v>17</v>
      </c>
      <c r="W35" s="775">
        <f t="shared" si="14"/>
        <v>100</v>
      </c>
      <c r="X35" s="2937"/>
      <c r="Y35" s="3220"/>
      <c r="Z35" s="2938" t="str">
        <f t="shared" si="15"/>
        <v>建筑结构</v>
      </c>
      <c r="AA35" s="2936">
        <f t="shared" si="3"/>
        <v>1</v>
      </c>
      <c r="AB35" s="2936">
        <f t="shared" si="4"/>
        <v>1</v>
      </c>
      <c r="AC35" s="2663">
        <f t="shared" si="5"/>
        <v>1</v>
      </c>
    </row>
    <row r="36" spans="1:29" ht="15">
      <c r="A36" s="472"/>
      <c r="B36" s="2933" t="s">
        <v>2649</v>
      </c>
      <c r="C36" s="460" t="s">
        <v>3090</v>
      </c>
      <c r="D36" s="435">
        <v>100</v>
      </c>
      <c r="E36" s="460" t="s">
        <v>3090</v>
      </c>
      <c r="F36" s="461">
        <f>SUMIF(108:108,E36,109:109)-SUMIF(108:108,C36,109:109)+100</f>
        <v>100</v>
      </c>
      <c r="G36" s="460" t="s">
        <v>3090</v>
      </c>
      <c r="H36" s="435">
        <f>SUMIF(108:108,G36,109:109)-SUMIF(108:108,C36,109:109)+100</f>
        <v>100</v>
      </c>
      <c r="I36" s="460" t="s">
        <v>3090</v>
      </c>
      <c r="J36" s="435">
        <f>SUMIF(108:108,I36,109:109)-SUMIF(108:108,C36,109:109)+100</f>
        <v>100</v>
      </c>
      <c r="K36" s="612">
        <v>2</v>
      </c>
      <c r="L36" s="1141"/>
      <c r="M36" s="1132"/>
      <c r="N36" s="1132"/>
      <c r="O36" s="1132"/>
      <c r="P36" s="3218"/>
      <c r="Q36" s="2935" t="str">
        <f t="shared" si="11"/>
        <v>公共部分装修</v>
      </c>
      <c r="R36" s="774" t="s">
        <v>17</v>
      </c>
      <c r="S36" s="775">
        <f t="shared" si="12"/>
        <v>100</v>
      </c>
      <c r="T36" s="774" t="s">
        <v>17</v>
      </c>
      <c r="U36" s="775">
        <f t="shared" si="13"/>
        <v>100</v>
      </c>
      <c r="V36" s="774" t="s">
        <v>17</v>
      </c>
      <c r="W36" s="775">
        <f t="shared" si="14"/>
        <v>100</v>
      </c>
      <c r="X36" s="2937"/>
      <c r="Y36" s="3220"/>
      <c r="Z36" s="2938" t="str">
        <f t="shared" si="15"/>
        <v>公共部分装修</v>
      </c>
      <c r="AA36" s="2936">
        <f t="shared" si="3"/>
        <v>1</v>
      </c>
      <c r="AB36" s="2936">
        <f t="shared" si="4"/>
        <v>1</v>
      </c>
      <c r="AC36" s="2663">
        <f t="shared" si="5"/>
        <v>1</v>
      </c>
    </row>
    <row r="37" spans="1:29" ht="15">
      <c r="A37" s="472"/>
      <c r="B37" s="2933" t="s">
        <v>2650</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1"/>
      <c r="M37" s="1132"/>
      <c r="N37" s="1132"/>
      <c r="O37" s="1132"/>
      <c r="P37" s="3218"/>
      <c r="Q37" s="2935" t="str">
        <f t="shared" si="11"/>
        <v>成新度</v>
      </c>
      <c r="R37" s="774" t="s">
        <v>17</v>
      </c>
      <c r="S37" s="775">
        <f t="shared" si="12"/>
        <v>98</v>
      </c>
      <c r="T37" s="774" t="s">
        <v>17</v>
      </c>
      <c r="U37" s="775">
        <f t="shared" si="13"/>
        <v>98</v>
      </c>
      <c r="V37" s="774" t="s">
        <v>17</v>
      </c>
      <c r="W37" s="775">
        <f t="shared" si="14"/>
        <v>98</v>
      </c>
      <c r="X37" s="2937"/>
      <c r="Y37" s="3220"/>
      <c r="Z37" s="2938" t="str">
        <f t="shared" si="15"/>
        <v>成新度</v>
      </c>
      <c r="AA37" s="2936">
        <f t="shared" si="3"/>
        <v>1.0204081632653061</v>
      </c>
      <c r="AB37" s="2936">
        <f t="shared" si="4"/>
        <v>1.0204081632653061</v>
      </c>
      <c r="AC37" s="2663">
        <f t="shared" si="5"/>
        <v>1.0204081632653061</v>
      </c>
    </row>
    <row r="38" spans="1:29" s="117" customFormat="1" ht="15" hidden="1">
      <c r="A38" s="473"/>
      <c r="B38" s="2933"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18"/>
      <c r="Q38" s="2931" t="str">
        <f t="shared" si="11"/>
        <v>写字楼等级</v>
      </c>
      <c r="R38" s="770" t="s">
        <v>17</v>
      </c>
      <c r="S38" s="771">
        <f t="shared" si="12"/>
        <v>100</v>
      </c>
      <c r="T38" s="770" t="s">
        <v>17</v>
      </c>
      <c r="U38" s="771">
        <f t="shared" si="13"/>
        <v>100</v>
      </c>
      <c r="V38" s="770" t="s">
        <v>17</v>
      </c>
      <c r="W38" s="771">
        <f t="shared" si="14"/>
        <v>100</v>
      </c>
      <c r="X38" s="772"/>
      <c r="Y38" s="3220"/>
      <c r="Z38" s="2932" t="str">
        <f t="shared" si="15"/>
        <v>写字楼等级</v>
      </c>
      <c r="AA38" s="773">
        <f t="shared" si="3"/>
        <v>1</v>
      </c>
      <c r="AB38" s="773">
        <f t="shared" si="4"/>
        <v>1</v>
      </c>
      <c r="AC38" s="2660">
        <f t="shared" si="5"/>
        <v>1</v>
      </c>
    </row>
    <row r="39" spans="1:29" ht="15">
      <c r="A39" s="472"/>
      <c r="B39" s="2933" t="s">
        <v>2683</v>
      </c>
      <c r="C39" s="460" t="s">
        <v>3097</v>
      </c>
      <c r="D39" s="435">
        <v>100</v>
      </c>
      <c r="E39" s="460" t="s">
        <v>3097</v>
      </c>
      <c r="F39" s="461">
        <f>SUMIF(115:115,E39,116:116)-SUMIF(115:115,C39,116:116)+100</f>
        <v>100</v>
      </c>
      <c r="G39" s="460" t="s">
        <v>3097</v>
      </c>
      <c r="H39" s="435">
        <f>SUMIF(115:115,G39,116:116)-SUMIF(115:115,C39,116:116)+100</f>
        <v>100</v>
      </c>
      <c r="I39" s="460" t="s">
        <v>3097</v>
      </c>
      <c r="J39" s="435">
        <f>SUMIF(115:115,I39,116:116)-SUMIF(115:115,C39,116:116)+100</f>
        <v>100</v>
      </c>
      <c r="K39" s="612">
        <v>2</v>
      </c>
      <c r="L39" s="1141"/>
      <c r="M39" s="1132"/>
      <c r="N39" s="1132"/>
      <c r="O39" s="1132"/>
      <c r="P39" s="3218" t="s">
        <v>2553</v>
      </c>
      <c r="Q39" s="2935" t="str">
        <f t="shared" si="11"/>
        <v>物业管理</v>
      </c>
      <c r="R39" s="774" t="s">
        <v>17</v>
      </c>
      <c r="S39" s="775">
        <f t="shared" si="12"/>
        <v>100</v>
      </c>
      <c r="T39" s="774" t="s">
        <v>17</v>
      </c>
      <c r="U39" s="775">
        <f t="shared" si="13"/>
        <v>100</v>
      </c>
      <c r="V39" s="774" t="s">
        <v>17</v>
      </c>
      <c r="W39" s="775">
        <f t="shared" si="14"/>
        <v>100</v>
      </c>
      <c r="X39" s="2937"/>
      <c r="Y39" s="3220" t="s">
        <v>2553</v>
      </c>
      <c r="Z39" s="2938" t="str">
        <f t="shared" si="15"/>
        <v>物业管理</v>
      </c>
      <c r="AA39" s="2936">
        <f t="shared" si="3"/>
        <v>1</v>
      </c>
      <c r="AB39" s="2936">
        <f t="shared" si="4"/>
        <v>1</v>
      </c>
      <c r="AC39" s="2663">
        <f t="shared" si="5"/>
        <v>1</v>
      </c>
    </row>
    <row r="40" spans="1:29" ht="15">
      <c r="A40" s="472"/>
      <c r="B40" s="2933" t="s">
        <v>2651</v>
      </c>
      <c r="C40" s="460" t="s">
        <v>3078</v>
      </c>
      <c r="D40" s="435">
        <v>100</v>
      </c>
      <c r="E40" s="460" t="s">
        <v>3078</v>
      </c>
      <c r="F40" s="461">
        <f>SUMIF(117:117,E40,118:118)-SUMIF(117:117,C40,118:118)+100</f>
        <v>100</v>
      </c>
      <c r="G40" s="460" t="s">
        <v>3078</v>
      </c>
      <c r="H40" s="435">
        <f>SUMIF(117:117,G40,118:118)-SUMIF(117:117,C40,118:118)+100</f>
        <v>100</v>
      </c>
      <c r="I40" s="460" t="s">
        <v>3078</v>
      </c>
      <c r="J40" s="435">
        <f>SUMIF(117:117,I40,118:118)-SUMIF(117:117,C40,118:118)+100</f>
        <v>100</v>
      </c>
      <c r="K40" s="612">
        <v>1</v>
      </c>
      <c r="L40" s="1141"/>
      <c r="M40" s="1132"/>
      <c r="N40" s="1132"/>
      <c r="O40" s="1132"/>
      <c r="P40" s="3218"/>
      <c r="Q40" s="2935" t="str">
        <f t="shared" si="11"/>
        <v>市政基础设施</v>
      </c>
      <c r="R40" s="774" t="s">
        <v>17</v>
      </c>
      <c r="S40" s="775">
        <f t="shared" si="12"/>
        <v>100</v>
      </c>
      <c r="T40" s="774" t="s">
        <v>17</v>
      </c>
      <c r="U40" s="775">
        <f t="shared" si="13"/>
        <v>100</v>
      </c>
      <c r="V40" s="774" t="s">
        <v>17</v>
      </c>
      <c r="W40" s="775">
        <f t="shared" si="14"/>
        <v>100</v>
      </c>
      <c r="X40" s="2937"/>
      <c r="Y40" s="3220"/>
      <c r="Z40" s="2938" t="str">
        <f t="shared" si="15"/>
        <v>市政基础设施</v>
      </c>
      <c r="AA40" s="2936">
        <f t="shared" si="3"/>
        <v>1</v>
      </c>
      <c r="AB40" s="2936">
        <f t="shared" si="4"/>
        <v>1</v>
      </c>
      <c r="AC40" s="2663">
        <f t="shared" si="5"/>
        <v>1</v>
      </c>
    </row>
    <row r="41" spans="1:29" ht="15" hidden="1">
      <c r="A41" s="472"/>
      <c r="B41" s="2933"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18"/>
      <c r="Q41" s="2935" t="str">
        <f t="shared" si="11"/>
        <v>层高</v>
      </c>
      <c r="R41" s="774" t="s">
        <v>17</v>
      </c>
      <c r="S41" s="775">
        <f t="shared" si="12"/>
        <v>100</v>
      </c>
      <c r="T41" s="774" t="s">
        <v>17</v>
      </c>
      <c r="U41" s="775">
        <f t="shared" si="13"/>
        <v>100</v>
      </c>
      <c r="V41" s="774" t="s">
        <v>17</v>
      </c>
      <c r="W41" s="775">
        <f t="shared" si="14"/>
        <v>100</v>
      </c>
      <c r="X41" s="2937"/>
      <c r="Y41" s="3220"/>
      <c r="Z41" s="2938" t="str">
        <f t="shared" si="15"/>
        <v>层高</v>
      </c>
      <c r="AA41" s="2936">
        <f t="shared" si="3"/>
        <v>1</v>
      </c>
      <c r="AB41" s="2936">
        <f t="shared" si="4"/>
        <v>1</v>
      </c>
      <c r="AC41" s="2663">
        <f t="shared" si="5"/>
        <v>1</v>
      </c>
    </row>
    <row r="42" spans="1:29" s="471" customFormat="1" ht="15" hidden="1">
      <c r="A42" s="468"/>
      <c r="B42" s="293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2936">
        <f t="shared" si="3"/>
        <v>1</v>
      </c>
      <c r="AB42" s="2936">
        <f t="shared" si="4"/>
        <v>1</v>
      </c>
      <c r="AC42" s="2663">
        <f t="shared" si="5"/>
        <v>1</v>
      </c>
    </row>
    <row r="43" spans="1:29" ht="15">
      <c r="A43" s="472"/>
      <c r="B43" s="2933" t="s">
        <v>2656</v>
      </c>
      <c r="C43" s="460" t="s">
        <v>3092</v>
      </c>
      <c r="D43" s="435">
        <v>100</v>
      </c>
      <c r="E43" s="460" t="s">
        <v>3092</v>
      </c>
      <c r="F43" s="461">
        <f>SUMIF(123:123,E43,124:124)-SUMIF(123:123,C43,124:124)+100</f>
        <v>100</v>
      </c>
      <c r="G43" s="460" t="s">
        <v>3092</v>
      </c>
      <c r="H43" s="435">
        <f>SUMIF(123:123,G43,124:124)-SUMIF(123:123,C43,124:124)+100</f>
        <v>100</v>
      </c>
      <c r="I43" s="460" t="s">
        <v>3092</v>
      </c>
      <c r="J43" s="435">
        <f>SUMIF(123:123,I43,124:124)-SUMIF(123:123,C43,124:124)+100</f>
        <v>100</v>
      </c>
      <c r="K43" s="612">
        <v>2</v>
      </c>
      <c r="L43" s="1141"/>
      <c r="M43" s="1132"/>
      <c r="N43" s="1132"/>
      <c r="O43" s="1132"/>
      <c r="P43" s="3218"/>
      <c r="Q43" s="2935" t="str">
        <f t="shared" si="11"/>
        <v>内部装修</v>
      </c>
      <c r="R43" s="774" t="s">
        <v>17</v>
      </c>
      <c r="S43" s="775">
        <f t="shared" si="12"/>
        <v>100</v>
      </c>
      <c r="T43" s="774" t="s">
        <v>17</v>
      </c>
      <c r="U43" s="775">
        <f t="shared" si="13"/>
        <v>100</v>
      </c>
      <c r="V43" s="774" t="s">
        <v>17</v>
      </c>
      <c r="W43" s="775">
        <f t="shared" si="14"/>
        <v>100</v>
      </c>
      <c r="X43" s="2937"/>
      <c r="Y43" s="3220"/>
      <c r="Z43" s="2938" t="str">
        <f t="shared" si="15"/>
        <v>内部装修</v>
      </c>
      <c r="AA43" s="2936">
        <f t="shared" si="3"/>
        <v>1</v>
      </c>
      <c r="AB43" s="2936">
        <f t="shared" si="4"/>
        <v>1</v>
      </c>
      <c r="AC43" s="2663">
        <f t="shared" si="5"/>
        <v>1</v>
      </c>
    </row>
    <row r="44" spans="1:29" ht="15.75" thickBot="1">
      <c r="A44" s="472"/>
      <c r="B44" s="2933" t="s">
        <v>2564</v>
      </c>
      <c r="C44" s="460" t="s">
        <v>3077</v>
      </c>
      <c r="D44" s="435">
        <v>100</v>
      </c>
      <c r="E44" s="460" t="s">
        <v>3077</v>
      </c>
      <c r="F44" s="461">
        <f>SUMIF(125:125,E44,126:126)-SUMIF(125:125,C44,126:126)+100</f>
        <v>100</v>
      </c>
      <c r="G44" s="460" t="s">
        <v>3077</v>
      </c>
      <c r="H44" s="435">
        <f>SUMIF(125:125,G44,126:126)-SUMIF(125:125,C44,126:126)+100</f>
        <v>100</v>
      </c>
      <c r="I44" s="460" t="s">
        <v>3077</v>
      </c>
      <c r="J44" s="435">
        <f>SUMIF(125:125,I44,126:126)-SUMIF(125:125,C44,126:126)+100</f>
        <v>100</v>
      </c>
      <c r="K44" s="612">
        <v>2</v>
      </c>
      <c r="L44" s="1141"/>
      <c r="M44" s="1132"/>
      <c r="N44" s="1132"/>
      <c r="O44" s="1132"/>
      <c r="P44" s="3218"/>
      <c r="Q44" s="2935" t="str">
        <f t="shared" si="11"/>
        <v>内部装修维护情况</v>
      </c>
      <c r="R44" s="774" t="s">
        <v>17</v>
      </c>
      <c r="S44" s="775">
        <f t="shared" si="12"/>
        <v>100</v>
      </c>
      <c r="T44" s="774" t="s">
        <v>17</v>
      </c>
      <c r="U44" s="775">
        <f t="shared" si="13"/>
        <v>100</v>
      </c>
      <c r="V44" s="774" t="s">
        <v>17</v>
      </c>
      <c r="W44" s="775">
        <f t="shared" si="14"/>
        <v>100</v>
      </c>
      <c r="X44" s="2937"/>
      <c r="Y44" s="3220"/>
      <c r="Z44" s="2938" t="str">
        <f t="shared" si="15"/>
        <v>内部装修维护情况</v>
      </c>
      <c r="AA44" s="2936">
        <f t="shared" si="3"/>
        <v>1</v>
      </c>
      <c r="AB44" s="2936">
        <f t="shared" si="4"/>
        <v>1</v>
      </c>
      <c r="AC44" s="2663">
        <f t="shared" si="5"/>
        <v>1</v>
      </c>
    </row>
    <row r="45" spans="1:29" s="117" customFormat="1" ht="15.75" hidden="1" thickBot="1">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8"/>
      <c r="Q45" s="2931">
        <f t="shared" si="11"/>
        <v>111</v>
      </c>
      <c r="R45" s="770" t="s">
        <v>17</v>
      </c>
      <c r="S45" s="771">
        <f t="shared" si="12"/>
        <v>100</v>
      </c>
      <c r="T45" s="770" t="s">
        <v>17</v>
      </c>
      <c r="U45" s="771">
        <f t="shared" si="13"/>
        <v>100</v>
      </c>
      <c r="V45" s="770" t="s">
        <v>17</v>
      </c>
      <c r="W45" s="771">
        <f t="shared" si="14"/>
        <v>100</v>
      </c>
      <c r="X45" s="772"/>
      <c r="Y45" s="3220"/>
      <c r="Z45" s="2932">
        <f t="shared" si="15"/>
        <v>111</v>
      </c>
      <c r="AA45" s="773">
        <f t="shared" si="3"/>
        <v>1</v>
      </c>
      <c r="AB45" s="773">
        <f t="shared" si="4"/>
        <v>1</v>
      </c>
      <c r="AC45" s="2660">
        <f t="shared" si="5"/>
        <v>1</v>
      </c>
    </row>
    <row r="46" spans="1:29" ht="15.75" hidden="1" thickBot="1">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8"/>
      <c r="Q46" s="2935">
        <f t="shared" si="11"/>
        <v>111</v>
      </c>
      <c r="R46" s="774" t="s">
        <v>17</v>
      </c>
      <c r="S46" s="775">
        <f t="shared" si="12"/>
        <v>100</v>
      </c>
      <c r="T46" s="774" t="s">
        <v>17</v>
      </c>
      <c r="U46" s="775">
        <f t="shared" si="13"/>
        <v>100</v>
      </c>
      <c r="V46" s="774" t="s">
        <v>17</v>
      </c>
      <c r="W46" s="775">
        <f t="shared" si="14"/>
        <v>100</v>
      </c>
      <c r="X46" s="2937"/>
      <c r="Y46" s="3220"/>
      <c r="Z46" s="2938">
        <f t="shared" si="15"/>
        <v>111</v>
      </c>
      <c r="AA46" s="2936">
        <f t="shared" si="3"/>
        <v>1</v>
      </c>
      <c r="AB46" s="2936">
        <f t="shared" si="4"/>
        <v>1</v>
      </c>
      <c r="AC46" s="2663">
        <f t="shared" si="5"/>
        <v>1</v>
      </c>
    </row>
    <row r="47" spans="1:29" ht="15.75" hidden="1"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9"/>
      <c r="Q47" s="2935">
        <f t="shared" si="11"/>
        <v>111</v>
      </c>
      <c r="R47" s="774" t="s">
        <v>17</v>
      </c>
      <c r="S47" s="775">
        <f t="shared" si="12"/>
        <v>100</v>
      </c>
      <c r="T47" s="774" t="s">
        <v>17</v>
      </c>
      <c r="U47" s="775">
        <f t="shared" si="13"/>
        <v>100</v>
      </c>
      <c r="V47" s="774" t="s">
        <v>17</v>
      </c>
      <c r="W47" s="775">
        <f t="shared" si="14"/>
        <v>100</v>
      </c>
      <c r="X47" s="2937"/>
      <c r="Y47" s="3221"/>
      <c r="Z47" s="2938">
        <f t="shared" si="15"/>
        <v>111</v>
      </c>
      <c r="AA47" s="2936">
        <f t="shared" si="3"/>
        <v>1</v>
      </c>
      <c r="AB47" s="2936">
        <f t="shared" si="4"/>
        <v>1</v>
      </c>
      <c r="AC47" s="2663">
        <f t="shared" si="5"/>
        <v>1</v>
      </c>
    </row>
    <row r="48" spans="1:29" ht="15">
      <c r="A48" s="479" t="s">
        <v>2565</v>
      </c>
      <c r="B48" s="480"/>
      <c r="C48" s="1408" t="s">
        <v>1</v>
      </c>
      <c r="D48" s="1409"/>
      <c r="E48" s="1410">
        <v>3.6</v>
      </c>
      <c r="F48" s="1411"/>
      <c r="G48" s="1410">
        <v>3.5</v>
      </c>
      <c r="H48" s="1413"/>
      <c r="I48" s="1410">
        <v>3.5</v>
      </c>
      <c r="J48" s="485"/>
      <c r="K48" s="783"/>
      <c r="L48" s="1144"/>
      <c r="M48" s="1132"/>
      <c r="N48" s="1132"/>
      <c r="O48" s="1132"/>
      <c r="P48" s="3193" t="str">
        <f>A48</f>
        <v>成交单价（元/平方米）</v>
      </c>
      <c r="Q48" s="3222"/>
      <c r="R48" s="3223">
        <f>E48</f>
        <v>3.6</v>
      </c>
      <c r="S48" s="3223"/>
      <c r="T48" s="3223">
        <f>G48</f>
        <v>3.5</v>
      </c>
      <c r="U48" s="3223"/>
      <c r="V48" s="3223">
        <f>I48</f>
        <v>3.5</v>
      </c>
      <c r="W48" s="3223"/>
      <c r="X48" s="446"/>
      <c r="Y48" s="781"/>
      <c r="Z48" s="446"/>
      <c r="AA48" s="446"/>
      <c r="AB48" s="446"/>
      <c r="AC48" s="630"/>
    </row>
    <row r="49" spans="1:29" ht="15.75" thickBot="1">
      <c r="A49" s="486" t="s">
        <v>2566</v>
      </c>
      <c r="B49" s="487"/>
      <c r="C49" s="1414">
        <f>R50</f>
        <v>3.5</v>
      </c>
      <c r="D49" s="1415"/>
      <c r="E49" s="1416">
        <f>R49</f>
        <v>3.6</v>
      </c>
      <c r="F49" s="1416"/>
      <c r="G49" s="1414">
        <f>T49</f>
        <v>3.5</v>
      </c>
      <c r="H49" s="1415"/>
      <c r="I49" s="1416">
        <f>V49</f>
        <v>3.5</v>
      </c>
      <c r="J49" s="489"/>
      <c r="K49" s="784"/>
      <c r="L49" s="1144"/>
      <c r="M49" s="1132"/>
      <c r="N49" s="1132"/>
      <c r="O49" s="1132"/>
      <c r="P49" s="3193" t="str">
        <f>A49</f>
        <v>比较价值（元/平方米）</v>
      </c>
      <c r="Q49" s="3222"/>
      <c r="R49" s="3223">
        <f>IF(F1="售价",ROUND(PRODUCT(R48,AA7:AA47),0),ROUND(PRODUCT(R48,AA7:AA47),1))</f>
        <v>3.6</v>
      </c>
      <c r="S49" s="3223"/>
      <c r="T49" s="3223">
        <f>IF(F1="售价",ROUND(PRODUCT(T48,AB7:AB47),0),ROUND(PRODUCT(T48,AB7:AB47),1))</f>
        <v>3.5</v>
      </c>
      <c r="U49" s="3223"/>
      <c r="V49" s="3223">
        <f>IF(F1="售价",ROUND(PRODUCT(V48,AC7:AC47),0),ROUND(PRODUCT(V48,AC7:AC47),1))</f>
        <v>3.5</v>
      </c>
      <c r="W49" s="3223"/>
      <c r="X49" s="446"/>
      <c r="Y49" s="446"/>
      <c r="Z49" s="446"/>
      <c r="AA49" s="446"/>
      <c r="AB49" s="446"/>
      <c r="AC49" s="630"/>
    </row>
    <row r="50" spans="1:29" ht="15.75" thickBot="1">
      <c r="A50" s="492" t="s">
        <v>2567</v>
      </c>
      <c r="B50" s="493"/>
      <c r="C50" s="1418">
        <f>R50</f>
        <v>3.5</v>
      </c>
      <c r="D50" s="1418"/>
      <c r="E50" s="1418"/>
      <c r="F50" s="1418"/>
      <c r="G50" s="1418"/>
      <c r="H50" s="1418"/>
      <c r="I50" s="1418"/>
      <c r="J50" s="494"/>
      <c r="K50" s="785"/>
      <c r="L50" s="1144"/>
      <c r="M50" s="1132"/>
      <c r="N50" s="1132"/>
      <c r="O50" s="1132"/>
      <c r="P50" s="3224" t="str">
        <f>A50</f>
        <v>估价对象XX用房的比较价值（楼面单价，元/平方米）</v>
      </c>
      <c r="Q50" s="3225"/>
      <c r="R50" s="3226">
        <f>IF(F1="售价",ROUND(AVERAGE(R49:V49),0),ROUND(AVERAGE(R49:V49),1))</f>
        <v>3.5</v>
      </c>
      <c r="S50" s="3226"/>
      <c r="T50" s="3226"/>
      <c r="U50" s="3226"/>
      <c r="V50" s="3226"/>
      <c r="W50" s="3226"/>
      <c r="X50" s="2643"/>
      <c r="Y50" s="2643"/>
      <c r="Z50" s="2643"/>
      <c r="AA50" s="2643"/>
      <c r="AB50" s="2643"/>
      <c r="AC50" s="264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2568</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6"/>
      <c r="L53" s="1107"/>
      <c r="M53" s="1145"/>
      <c r="N53" s="1145"/>
      <c r="O53" s="1145"/>
    </row>
    <row r="54" spans="1:29" ht="13.5" customHeight="1">
      <c r="A54" s="1145"/>
      <c r="B54" s="1145"/>
      <c r="C54" s="497" t="s">
        <v>2569</v>
      </c>
      <c r="D54" s="501"/>
      <c r="E54" s="499">
        <f>IF(E49&lt;G49,G49/E49-1,E49/G49-1)</f>
        <v>2.8571428571428692E-2</v>
      </c>
      <c r="F54" s="500" t="str">
        <f>IF(OR(E54&gt;=0.2,E54&lt;=-0.2),"超过20%","")</f>
        <v/>
      </c>
      <c r="G54" s="499">
        <f>IF(G49&lt;I49,I49/G49-1,G49/I49-1)</f>
        <v>0</v>
      </c>
      <c r="H54" s="500" t="str">
        <f>IF(OR(G54&gt;=0.2,G54&lt;=-0.2),"超过20%","")</f>
        <v/>
      </c>
      <c r="I54" s="499">
        <f>IF(I49&lt;E49,E49/I49-1,I49/E49-1)</f>
        <v>2.8571428571428692E-2</v>
      </c>
      <c r="J54" s="500" t="str">
        <f>IF(OR(I54&gt;=0.2,I54&lt;=-0.2),"超过20%","")</f>
        <v/>
      </c>
      <c r="K54" s="1106"/>
      <c r="L54" s="1107"/>
      <c r="M54" s="1145"/>
      <c r="N54" s="1145"/>
      <c r="O54" s="1145"/>
    </row>
    <row r="55" spans="1:29" s="502" customFormat="1" ht="13.5" customHeight="1">
      <c r="A55" s="1146"/>
      <c r="B55" s="1146"/>
      <c r="C55" s="497" t="s">
        <v>2570</v>
      </c>
      <c r="D55" s="501"/>
      <c r="E55" s="499">
        <f>IF(E48&lt;G48,G48/E48-1,E48/G48-1)</f>
        <v>2.8571428571428692E-2</v>
      </c>
      <c r="F55" s="500" t="str">
        <f>IF(OR(E55&gt;=0.3,E55&lt;=-0.3),"超过30%","")</f>
        <v/>
      </c>
      <c r="G55" s="499">
        <f>IF(G48&lt;I48,I48/G48-1,G48/I48-1)</f>
        <v>0</v>
      </c>
      <c r="H55" s="500" t="str">
        <f>IF(OR(G55&gt;=0.3,G55&lt;=-0.3),"超过30%","")</f>
        <v/>
      </c>
      <c r="I55" s="499">
        <f>IF(I48&lt;E48,E48/I48-1,I48/E48-1)</f>
        <v>2.8571428571428692E-2</v>
      </c>
      <c r="J55" s="500" t="str">
        <f>IF(OR(I55&gt;=0.3,I55&lt;=-0.3),"超过30%","")</f>
        <v/>
      </c>
      <c r="K55" s="1149"/>
      <c r="L55" s="1150"/>
      <c r="M55" s="1146"/>
      <c r="N55" s="1146"/>
      <c r="O55" s="1146"/>
      <c r="P55" s="2669"/>
    </row>
    <row r="56" spans="1:29" s="502" customFormat="1">
      <c r="A56" s="1146"/>
      <c r="B56" s="1147"/>
      <c r="C56" s="1151"/>
      <c r="D56" s="1146"/>
      <c r="E56" s="1146"/>
      <c r="F56" s="1146"/>
      <c r="G56" s="1146"/>
      <c r="H56" s="1146"/>
      <c r="I56" s="1146"/>
      <c r="J56" s="1146"/>
      <c r="K56" s="1149"/>
      <c r="L56" s="1150"/>
      <c r="M56" s="1146"/>
      <c r="N56" s="1146"/>
      <c r="O56" s="1146"/>
      <c r="P56" s="2669"/>
    </row>
    <row r="57" spans="1:29">
      <c r="A57" s="1145"/>
      <c r="B57" s="1147"/>
      <c r="C57" s="1151"/>
      <c r="D57" s="1145"/>
      <c r="E57" s="1145"/>
      <c r="F57" s="1145"/>
      <c r="G57" s="1145"/>
      <c r="H57" s="1145"/>
      <c r="I57" s="1145"/>
      <c r="J57" s="1145"/>
      <c r="K57" s="1106"/>
      <c r="L57" s="1107"/>
      <c r="M57" s="1145"/>
      <c r="N57" s="1145"/>
      <c r="O57" s="1145"/>
    </row>
    <row r="58" spans="1:29" ht="21.75" thickBot="1">
      <c r="A58" s="763" t="s">
        <v>2571</v>
      </c>
      <c r="B58" s="759"/>
      <c r="C58" s="764"/>
      <c r="D58" s="764"/>
      <c r="E58" s="764"/>
      <c r="F58" s="765"/>
      <c r="G58" s="765"/>
      <c r="H58" s="764"/>
      <c r="I58" s="764"/>
      <c r="J58" s="764"/>
      <c r="K58" s="766"/>
      <c r="L58" s="1162"/>
      <c r="M58" s="1160"/>
      <c r="N58" s="1160"/>
      <c r="O58" s="1160"/>
      <c r="P58" s="2670"/>
      <c r="Q58" s="504"/>
    </row>
    <row r="59" spans="1:29" s="508" customFormat="1" ht="15">
      <c r="A59" s="505" t="s">
        <v>2536</v>
      </c>
      <c r="B59" s="506"/>
      <c r="C59" s="1574" t="str">
        <f>YEAR(C7)&amp;"-"&amp;MONTH(C7)</f>
        <v>2018-7</v>
      </c>
      <c r="D59" s="1575">
        <f>EDATE(C59,-1)</f>
        <v>43252</v>
      </c>
      <c r="E59" s="1575">
        <f>EDATE(D59,-1)</f>
        <v>43221</v>
      </c>
      <c r="F59" s="1575">
        <f t="shared" ref="F59:O59" si="16">EDATE(E59,-1)</f>
        <v>43191</v>
      </c>
      <c r="G59" s="1575">
        <f t="shared" si="16"/>
        <v>43160</v>
      </c>
      <c r="H59" s="1575">
        <f t="shared" si="16"/>
        <v>43132</v>
      </c>
      <c r="I59" s="1575">
        <f t="shared" si="16"/>
        <v>43101</v>
      </c>
      <c r="J59" s="1575">
        <f t="shared" si="16"/>
        <v>43070</v>
      </c>
      <c r="K59" s="1575">
        <f t="shared" si="16"/>
        <v>43040</v>
      </c>
      <c r="L59" s="1575">
        <f t="shared" si="16"/>
        <v>43009</v>
      </c>
      <c r="M59" s="1575">
        <f t="shared" si="16"/>
        <v>42979</v>
      </c>
      <c r="N59" s="1575">
        <f t="shared" si="16"/>
        <v>42948</v>
      </c>
      <c r="O59" s="1575">
        <f t="shared" si="16"/>
        <v>42917</v>
      </c>
      <c r="P59" s="1571"/>
    </row>
    <row r="60" spans="1:29" s="117" customFormat="1" ht="15">
      <c r="A60" s="509"/>
      <c r="B60" s="510"/>
      <c r="C60" s="1573">
        <v>100</v>
      </c>
      <c r="D60" s="512"/>
      <c r="E60" s="512"/>
      <c r="F60" s="512"/>
      <c r="G60" s="512"/>
      <c r="H60" s="512"/>
      <c r="I60" s="512"/>
      <c r="J60" s="512"/>
      <c r="K60" s="512"/>
      <c r="L60" s="512"/>
      <c r="M60" s="513"/>
      <c r="N60" s="512"/>
      <c r="O60" s="513"/>
      <c r="P60" s="2671"/>
    </row>
    <row r="61" spans="1:29" s="117" customFormat="1" ht="15.75" thickBot="1">
      <c r="A61" s="515" t="s">
        <v>2573</v>
      </c>
      <c r="B61" s="516"/>
      <c r="C61" s="517"/>
      <c r="D61" s="518"/>
      <c r="E61" s="518"/>
      <c r="F61" s="518"/>
      <c r="G61" s="518"/>
      <c r="H61" s="518"/>
      <c r="I61" s="518"/>
      <c r="J61" s="518"/>
      <c r="K61" s="518"/>
      <c r="L61" s="518"/>
      <c r="M61" s="519"/>
      <c r="N61" s="518"/>
      <c r="O61" s="519"/>
      <c r="P61" s="2671"/>
      <c r="Q61" s="504"/>
    </row>
    <row r="62" spans="1:29" s="117" customFormat="1" ht="15">
      <c r="A62" s="521" t="s">
        <v>2538</v>
      </c>
      <c r="B62" s="510"/>
      <c r="C62" s="522" t="s">
        <v>2575</v>
      </c>
      <c r="D62" s="523"/>
      <c r="E62" s="523"/>
      <c r="F62" s="523"/>
      <c r="G62" s="523"/>
      <c r="H62" s="523"/>
      <c r="I62" s="523"/>
      <c r="J62" s="523"/>
      <c r="K62" s="523"/>
      <c r="L62" s="524"/>
      <c r="M62" s="525"/>
      <c r="N62" s="1152"/>
      <c r="O62" s="1152"/>
      <c r="P62" s="2672"/>
      <c r="Q62" s="504"/>
    </row>
    <row r="63" spans="1:29" s="117" customFormat="1" ht="15.75" thickBot="1">
      <c r="A63" s="521"/>
      <c r="B63" s="510"/>
      <c r="C63" s="511">
        <v>100</v>
      </c>
      <c r="D63" s="512"/>
      <c r="E63" s="512"/>
      <c r="F63" s="512"/>
      <c r="G63" s="512"/>
      <c r="H63" s="512"/>
      <c r="I63" s="512"/>
      <c r="J63" s="512"/>
      <c r="K63" s="512"/>
      <c r="L63" s="512"/>
      <c r="M63" s="514"/>
      <c r="N63" s="1152"/>
      <c r="O63" s="1152"/>
      <c r="P63" s="2671"/>
      <c r="Q63" s="504"/>
    </row>
    <row r="64" spans="1:29">
      <c r="A64" s="527" t="s">
        <v>2576</v>
      </c>
      <c r="B64" s="528" t="s">
        <v>2542</v>
      </c>
      <c r="C64" s="529" t="str">
        <f>C9</f>
        <v>工业</v>
      </c>
      <c r="D64" s="530"/>
      <c r="E64" s="530"/>
      <c r="F64" s="530"/>
      <c r="G64" s="530"/>
      <c r="H64" s="530"/>
      <c r="I64" s="530"/>
      <c r="J64" s="530"/>
      <c r="K64" s="531"/>
      <c r="L64" s="532"/>
      <c r="M64" s="533"/>
      <c r="N64" s="1153"/>
      <c r="O64" s="1153"/>
      <c r="P64" s="2673"/>
      <c r="Q64" s="504"/>
    </row>
    <row r="65" spans="1:17" ht="15.75" thickBot="1">
      <c r="A65" s="534"/>
      <c r="B65" s="535"/>
      <c r="C65" s="536">
        <v>100</v>
      </c>
      <c r="D65" s="536"/>
      <c r="E65" s="536"/>
      <c r="F65" s="536"/>
      <c r="G65" s="536"/>
      <c r="H65" s="536"/>
      <c r="I65" s="536"/>
      <c r="J65" s="536"/>
      <c r="K65" s="536"/>
      <c r="L65" s="536"/>
      <c r="M65" s="537"/>
      <c r="N65" s="1154"/>
      <c r="O65" s="1154"/>
      <c r="P65" s="267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3"/>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73"/>
      <c r="Q67" s="504"/>
    </row>
    <row r="68" spans="1:17" ht="15.75" thickTop="1">
      <c r="A68" s="534"/>
      <c r="B68" s="546" t="s">
        <v>2546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73"/>
      <c r="Q68" s="504"/>
    </row>
    <row r="69" spans="1:17" ht="15">
      <c r="A69" s="534"/>
      <c r="B69" s="548"/>
      <c r="C69" s="549">
        <v>0</v>
      </c>
      <c r="D69" s="549">
        <v>1</v>
      </c>
      <c r="E69" s="549">
        <v>2</v>
      </c>
      <c r="F69" s="549">
        <v>3</v>
      </c>
      <c r="G69" s="549">
        <v>4</v>
      </c>
      <c r="H69" s="549">
        <v>5</v>
      </c>
      <c r="I69" s="549">
        <v>6</v>
      </c>
      <c r="J69" s="549"/>
      <c r="K69" s="550"/>
      <c r="L69" s="551"/>
      <c r="M69" s="552"/>
      <c r="N69" s="1153"/>
      <c r="O69" s="1153"/>
      <c r="P69" s="267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73"/>
      <c r="Q70" s="504"/>
    </row>
    <row r="71" spans="1:17" s="471" customFormat="1" ht="15.75" thickTop="1">
      <c r="A71" s="553"/>
      <c r="B71" s="538">
        <f>B12</f>
        <v>111</v>
      </c>
      <c r="C71" s="554"/>
      <c r="D71" s="554"/>
      <c r="E71" s="554"/>
      <c r="F71" s="554"/>
      <c r="G71" s="554"/>
      <c r="H71" s="555"/>
      <c r="I71" s="555"/>
      <c r="J71" s="555"/>
      <c r="K71" s="555"/>
      <c r="L71" s="556"/>
      <c r="M71" s="557"/>
      <c r="N71" s="1155"/>
      <c r="O71" s="1155"/>
      <c r="P71" s="2674"/>
      <c r="Q71" s="559"/>
    </row>
    <row r="72" spans="1:17" s="471" customFormat="1" ht="15.75" thickBot="1">
      <c r="A72" s="553"/>
      <c r="B72" s="543"/>
      <c r="C72" s="560"/>
      <c r="D72" s="536"/>
      <c r="E72" s="536"/>
      <c r="F72" s="536"/>
      <c r="G72" s="536"/>
      <c r="H72" s="536"/>
      <c r="I72" s="536"/>
      <c r="J72" s="536"/>
      <c r="K72" s="536"/>
      <c r="L72" s="536"/>
      <c r="M72" s="537"/>
      <c r="N72" s="1154"/>
      <c r="O72" s="1154"/>
      <c r="P72" s="2674"/>
      <c r="Q72" s="559"/>
    </row>
    <row r="73" spans="1:17" s="471" customFormat="1" ht="15.75" thickTop="1">
      <c r="A73" s="553"/>
      <c r="B73" s="538">
        <f>B13</f>
        <v>111</v>
      </c>
      <c r="C73" s="554"/>
      <c r="D73" s="554"/>
      <c r="E73" s="554"/>
      <c r="F73" s="554"/>
      <c r="G73" s="554"/>
      <c r="H73" s="555"/>
      <c r="I73" s="555"/>
      <c r="J73" s="555"/>
      <c r="K73" s="555"/>
      <c r="L73" s="556"/>
      <c r="M73" s="557"/>
      <c r="N73" s="1155"/>
      <c r="O73" s="1155"/>
      <c r="P73" s="2675"/>
      <c r="Q73" s="561"/>
    </row>
    <row r="74" spans="1:17" s="471" customFormat="1" ht="15.75" thickBot="1">
      <c r="A74" s="553"/>
      <c r="B74" s="543"/>
      <c r="C74" s="560"/>
      <c r="D74" s="560"/>
      <c r="E74" s="560"/>
      <c r="F74" s="560"/>
      <c r="G74" s="560"/>
      <c r="H74" s="562"/>
      <c r="I74" s="562"/>
      <c r="J74" s="562"/>
      <c r="K74" s="562"/>
      <c r="L74" s="562"/>
      <c r="M74" s="563"/>
      <c r="N74" s="1155"/>
      <c r="O74" s="1155"/>
      <c r="P74" s="2674"/>
      <c r="Q74" s="559"/>
    </row>
    <row r="75" spans="1:17" s="471" customFormat="1" ht="15.75" thickTop="1">
      <c r="A75" s="553"/>
      <c r="B75" s="546">
        <f>B14</f>
        <v>111</v>
      </c>
      <c r="C75" s="523"/>
      <c r="D75" s="523"/>
      <c r="E75" s="523"/>
      <c r="F75" s="523"/>
      <c r="G75" s="523"/>
      <c r="H75" s="564"/>
      <c r="I75" s="564"/>
      <c r="J75" s="564"/>
      <c r="K75" s="564"/>
      <c r="L75" s="565"/>
      <c r="M75" s="566"/>
      <c r="N75" s="1155"/>
      <c r="O75" s="1155"/>
      <c r="P75" s="2676"/>
      <c r="Q75" s="559"/>
    </row>
    <row r="76" spans="1:17" s="471" customFormat="1" ht="15.75" thickBot="1">
      <c r="A76" s="568"/>
      <c r="B76" s="569"/>
      <c r="C76" s="570"/>
      <c r="D76" s="570"/>
      <c r="E76" s="570"/>
      <c r="F76" s="570"/>
      <c r="G76" s="570"/>
      <c r="H76" s="571"/>
      <c r="I76" s="571"/>
      <c r="J76" s="571"/>
      <c r="K76" s="571"/>
      <c r="L76" s="571"/>
      <c r="M76" s="572"/>
      <c r="N76" s="1155"/>
      <c r="O76" s="1155"/>
      <c r="P76" s="267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3"/>
      <c r="O77" s="1153"/>
      <c r="P77" s="267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7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3"/>
      <c r="O79" s="1153"/>
      <c r="P79" s="267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7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3"/>
      <c r="O81" s="1153"/>
      <c r="P81" s="267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73"/>
      <c r="Q82" s="504"/>
    </row>
    <row r="83" spans="1:17" ht="15.75" thickTop="1">
      <c r="A83" s="534"/>
      <c r="B83" s="546" t="s">
        <v>2677</v>
      </c>
      <c r="C83" s="660" t="s">
        <v>2663</v>
      </c>
      <c r="D83" s="660" t="s">
        <v>2664</v>
      </c>
      <c r="E83" s="660" t="s">
        <v>2665</v>
      </c>
      <c r="F83" s="660" t="s">
        <v>2666</v>
      </c>
      <c r="G83" s="660" t="s">
        <v>2667</v>
      </c>
      <c r="H83" s="539"/>
      <c r="I83" s="539"/>
      <c r="J83" s="539"/>
      <c r="K83" s="539"/>
      <c r="L83" s="539"/>
      <c r="M83" s="1383"/>
      <c r="N83" s="1154"/>
      <c r="O83" s="1154"/>
      <c r="P83" s="267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4"/>
      <c r="O84" s="1154"/>
      <c r="P84" s="267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3"/>
      <c r="O85" s="1153"/>
      <c r="P85" s="267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73"/>
      <c r="Q86" s="504"/>
    </row>
    <row r="87" spans="1:17" s="117" customFormat="1" ht="27.75" thickTop="1">
      <c r="A87" s="579"/>
      <c r="B87" s="538" t="s">
        <v>2687</v>
      </c>
      <c r="C87" s="2948" t="s">
        <v>3079</v>
      </c>
      <c r="D87" s="2948" t="s">
        <v>3080</v>
      </c>
      <c r="E87" s="2948" t="s">
        <v>3081</v>
      </c>
      <c r="F87" s="2948" t="s">
        <v>3082</v>
      </c>
      <c r="G87" s="2948" t="s">
        <v>3076</v>
      </c>
      <c r="H87" s="554"/>
      <c r="I87" s="554"/>
      <c r="J87" s="554"/>
      <c r="K87" s="554"/>
      <c r="L87" s="580"/>
      <c r="M87" s="581"/>
      <c r="N87" s="1152"/>
      <c r="O87" s="1152"/>
      <c r="P87" s="267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73"/>
      <c r="Q88" s="504"/>
    </row>
    <row r="89" spans="1:17" s="117" customFormat="1" ht="15.75" thickTop="1">
      <c r="A89" s="579"/>
      <c r="B89" s="538" t="str">
        <f>B27</f>
        <v>楼层</v>
      </c>
      <c r="C89" s="2948" t="s">
        <v>3083</v>
      </c>
      <c r="D89" s="2948" t="s">
        <v>3085</v>
      </c>
      <c r="E89" s="2948" t="s">
        <v>3086</v>
      </c>
      <c r="F89" s="2624"/>
      <c r="G89" s="554"/>
      <c r="H89" s="554"/>
      <c r="I89" s="554"/>
      <c r="J89" s="554"/>
      <c r="K89" s="554"/>
      <c r="L89" s="554"/>
      <c r="M89" s="581"/>
      <c r="N89" s="1152"/>
      <c r="O89" s="1152"/>
      <c r="P89" s="267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7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74"/>
      <c r="Q92" s="559"/>
    </row>
    <row r="93" spans="1:17" ht="15.75" thickTop="1">
      <c r="A93" s="534"/>
      <c r="B93" s="538">
        <f>B29</f>
        <v>111</v>
      </c>
      <c r="C93" s="554"/>
      <c r="D93" s="554"/>
      <c r="E93" s="554"/>
      <c r="F93" s="554"/>
      <c r="G93" s="554"/>
      <c r="H93" s="554"/>
      <c r="I93" s="554"/>
      <c r="J93" s="554"/>
      <c r="K93" s="554"/>
      <c r="L93" s="580"/>
      <c r="M93" s="581"/>
      <c r="N93" s="1153"/>
      <c r="O93" s="1153"/>
      <c r="P93" s="2673"/>
      <c r="Q93" s="504"/>
    </row>
    <row r="94" spans="1:17" ht="15.75" thickBot="1">
      <c r="A94" s="534"/>
      <c r="B94" s="543"/>
      <c r="C94" s="560"/>
      <c r="D94" s="536"/>
      <c r="E94" s="536"/>
      <c r="F94" s="536"/>
      <c r="G94" s="536"/>
      <c r="H94" s="536"/>
      <c r="I94" s="536"/>
      <c r="J94" s="536"/>
      <c r="K94" s="536"/>
      <c r="L94" s="536"/>
      <c r="M94" s="537"/>
      <c r="N94" s="1154"/>
      <c r="O94" s="1154"/>
      <c r="P94" s="2673"/>
      <c r="Q94" s="504"/>
    </row>
    <row r="95" spans="1:17" ht="15.75" thickTop="1">
      <c r="A95" s="534"/>
      <c r="B95" s="538">
        <f>B30</f>
        <v>111</v>
      </c>
      <c r="C95" s="554"/>
      <c r="D95" s="554"/>
      <c r="E95" s="554"/>
      <c r="F95" s="554"/>
      <c r="G95" s="583"/>
      <c r="H95" s="583"/>
      <c r="I95" s="583"/>
      <c r="J95" s="583"/>
      <c r="K95" s="584"/>
      <c r="L95" s="585"/>
      <c r="M95" s="586"/>
      <c r="N95" s="1153"/>
      <c r="O95" s="1153"/>
      <c r="P95" s="2673"/>
      <c r="Q95" s="504"/>
    </row>
    <row r="96" spans="1:17" ht="15.75" thickBot="1">
      <c r="A96" s="534"/>
      <c r="B96" s="543"/>
      <c r="C96" s="560"/>
      <c r="D96" s="560"/>
      <c r="E96" s="560"/>
      <c r="F96" s="560"/>
      <c r="G96" s="536"/>
      <c r="H96" s="536"/>
      <c r="I96" s="536"/>
      <c r="J96" s="536"/>
      <c r="K96" s="536"/>
      <c r="L96" s="536"/>
      <c r="M96" s="537"/>
      <c r="N96" s="1154"/>
      <c r="O96" s="1154"/>
      <c r="P96" s="2673"/>
      <c r="Q96" s="504"/>
    </row>
    <row r="97" spans="1:17" ht="15.75" thickTop="1">
      <c r="A97" s="534"/>
      <c r="B97" s="538">
        <f>B31</f>
        <v>111</v>
      </c>
      <c r="C97" s="554"/>
      <c r="D97" s="554"/>
      <c r="E97" s="554"/>
      <c r="F97" s="554"/>
      <c r="G97" s="583"/>
      <c r="H97" s="583"/>
      <c r="I97" s="583"/>
      <c r="J97" s="583"/>
      <c r="K97" s="584"/>
      <c r="L97" s="585"/>
      <c r="M97" s="586"/>
      <c r="N97" s="1153"/>
      <c r="O97" s="1153"/>
      <c r="P97" s="2673"/>
      <c r="Q97" s="504"/>
    </row>
    <row r="98" spans="1:17" ht="15.75" thickBot="1">
      <c r="A98" s="534"/>
      <c r="B98" s="543"/>
      <c r="C98" s="560"/>
      <c r="D98" s="536"/>
      <c r="E98" s="536"/>
      <c r="F98" s="536"/>
      <c r="G98" s="536"/>
      <c r="H98" s="536"/>
      <c r="I98" s="536"/>
      <c r="J98" s="536"/>
      <c r="K98" s="536"/>
      <c r="L98" s="536"/>
      <c r="M98" s="537"/>
      <c r="N98" s="1154"/>
      <c r="O98" s="1154"/>
      <c r="P98" s="2673"/>
      <c r="Q98" s="504"/>
    </row>
    <row r="99" spans="1:17" ht="15.75" thickTop="1">
      <c r="A99" s="534"/>
      <c r="B99" s="546">
        <f>B32</f>
        <v>111</v>
      </c>
      <c r="C99" s="523"/>
      <c r="D99" s="523"/>
      <c r="E99" s="523"/>
      <c r="F99" s="523"/>
      <c r="G99" s="587"/>
      <c r="H99" s="587"/>
      <c r="I99" s="587"/>
      <c r="J99" s="587"/>
      <c r="K99" s="588"/>
      <c r="L99" s="589"/>
      <c r="M99" s="590"/>
      <c r="N99" s="1153"/>
      <c r="O99" s="1153"/>
      <c r="P99" s="2673"/>
      <c r="Q99" s="504"/>
    </row>
    <row r="100" spans="1:17" ht="15.75" thickBot="1">
      <c r="A100" s="2625"/>
      <c r="B100" s="569"/>
      <c r="C100" s="570"/>
      <c r="D100" s="570"/>
      <c r="E100" s="570"/>
      <c r="F100" s="570"/>
      <c r="G100" s="591"/>
      <c r="H100" s="591"/>
      <c r="I100" s="591"/>
      <c r="J100" s="591"/>
      <c r="K100" s="591"/>
      <c r="L100" s="591"/>
      <c r="M100" s="592"/>
      <c r="N100" s="1154"/>
      <c r="O100" s="1154"/>
      <c r="P100" s="2673"/>
      <c r="Q100" s="504"/>
    </row>
    <row r="101" spans="1:17">
      <c r="A101" s="527" t="s">
        <v>2551</v>
      </c>
      <c r="B101" s="528" t="s">
        <v>2600</v>
      </c>
      <c r="C101" s="530"/>
      <c r="D101" s="530"/>
      <c r="E101" s="530"/>
      <c r="F101" s="530"/>
      <c r="G101" s="530"/>
      <c r="H101" s="530"/>
      <c r="I101" s="530"/>
      <c r="J101" s="530"/>
      <c r="K101" s="531"/>
      <c r="L101" s="532"/>
      <c r="M101" s="533"/>
      <c r="N101" s="1153"/>
      <c r="O101" s="1153"/>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3"/>
      <c r="Q102" s="504"/>
    </row>
    <row r="103" spans="1:17" ht="29.25" thickTop="1">
      <c r="A103" s="534"/>
      <c r="B103" s="538" t="s">
        <v>2601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2"/>
      <c r="O103" s="1152"/>
      <c r="P103" s="2673"/>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5"/>
      <c r="O104" s="1155"/>
      <c r="P104" s="2674"/>
      <c r="Q104" s="559"/>
    </row>
    <row r="105" spans="1:17" s="471" customFormat="1" ht="15.75" thickBot="1">
      <c r="A105" s="553"/>
      <c r="B105" s="543"/>
      <c r="C105" s="560">
        <v>100</v>
      </c>
      <c r="D105" s="536">
        <v>98</v>
      </c>
      <c r="E105" s="536">
        <v>96</v>
      </c>
      <c r="F105" s="536">
        <v>94</v>
      </c>
      <c r="G105" s="536">
        <v>92</v>
      </c>
      <c r="H105" s="536">
        <v>90</v>
      </c>
      <c r="I105" s="536">
        <v>88</v>
      </c>
      <c r="J105" s="536"/>
      <c r="K105" s="536"/>
      <c r="L105" s="536"/>
      <c r="M105" s="537"/>
      <c r="N105" s="1154"/>
      <c r="O105" s="1154"/>
      <c r="P105" s="2674"/>
      <c r="Q105" s="559"/>
    </row>
    <row r="106" spans="1:17" ht="15" thickTop="1">
      <c r="A106" s="599"/>
      <c r="B106" s="538" t="s">
        <v>2602</v>
      </c>
      <c r="C106" s="2948" t="s">
        <v>3088</v>
      </c>
      <c r="D106" s="2948" t="s">
        <v>3089</v>
      </c>
      <c r="E106" s="583"/>
      <c r="F106" s="583"/>
      <c r="G106" s="583"/>
      <c r="H106" s="583"/>
      <c r="I106" s="583"/>
      <c r="J106" s="583"/>
      <c r="K106" s="584"/>
      <c r="L106" s="585"/>
      <c r="M106" s="586"/>
      <c r="N106" s="1153"/>
      <c r="O106" s="1153"/>
      <c r="P106" s="2673"/>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73"/>
      <c r="Q107" s="504"/>
    </row>
    <row r="108" spans="1:17" ht="15" thickTop="1">
      <c r="A108" s="599"/>
      <c r="B108" s="538" t="s">
        <v>2604</v>
      </c>
      <c r="C108" s="2948" t="s">
        <v>3091</v>
      </c>
      <c r="D108" s="2948" t="s">
        <v>3093</v>
      </c>
      <c r="E108" s="2948" t="s">
        <v>3094</v>
      </c>
      <c r="F108" s="2947" t="s">
        <v>3095</v>
      </c>
      <c r="G108" s="583"/>
      <c r="H108" s="583"/>
      <c r="I108" s="583"/>
      <c r="J108" s="583"/>
      <c r="K108" s="584"/>
      <c r="L108" s="585"/>
      <c r="M108" s="586"/>
      <c r="N108" s="1153"/>
      <c r="O108" s="1153"/>
      <c r="P108" s="2673"/>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7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73"/>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74"/>
      <c r="Q114" s="559"/>
    </row>
    <row r="115" spans="1:17" ht="15" thickTop="1">
      <c r="A115" s="599"/>
      <c r="B115" s="538" t="s">
        <v>2605</v>
      </c>
      <c r="C115" s="2948" t="s">
        <v>3096</v>
      </c>
      <c r="D115" s="2948" t="s">
        <v>3098</v>
      </c>
      <c r="E115" s="583"/>
      <c r="F115" s="583"/>
      <c r="G115" s="583"/>
      <c r="H115" s="583"/>
      <c r="I115" s="583"/>
      <c r="J115" s="583"/>
      <c r="K115" s="584"/>
      <c r="L115" s="585"/>
      <c r="M115" s="586"/>
      <c r="N115" s="1153"/>
      <c r="O115" s="1153"/>
      <c r="P115" s="267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73"/>
      <c r="Q116" s="504"/>
    </row>
    <row r="117" spans="1:17" ht="15" thickTop="1">
      <c r="A117" s="599"/>
      <c r="B117" s="538" t="s">
        <v>2606</v>
      </c>
      <c r="C117" s="2948" t="s">
        <v>3099</v>
      </c>
      <c r="D117" s="2948" t="s">
        <v>3100</v>
      </c>
      <c r="E117" s="2948" t="s">
        <v>3101</v>
      </c>
      <c r="F117" s="554"/>
      <c r="G117" s="554"/>
      <c r="H117" s="583"/>
      <c r="I117" s="583"/>
      <c r="J117" s="583"/>
      <c r="K117" s="584"/>
      <c r="L117" s="585"/>
      <c r="M117" s="586"/>
      <c r="N117" s="1153"/>
      <c r="O117" s="1153"/>
      <c r="P117" s="267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73"/>
      <c r="Q118" s="504"/>
    </row>
    <row r="119" spans="1:17" ht="15" thickTop="1">
      <c r="A119" s="599"/>
      <c r="B119" s="636" t="s">
        <v>2689</v>
      </c>
      <c r="C119" s="2947" t="s">
        <v>3102</v>
      </c>
      <c r="D119" s="583"/>
      <c r="E119" s="583"/>
      <c r="F119" s="583"/>
      <c r="G119" s="583"/>
      <c r="H119" s="583"/>
      <c r="I119" s="583"/>
      <c r="J119" s="583"/>
      <c r="K119" s="583"/>
      <c r="L119" s="2678"/>
      <c r="M119" s="2679"/>
      <c r="N119" s="1154"/>
      <c r="O119" s="1154"/>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3"/>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7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74"/>
      <c r="Q122" s="559"/>
    </row>
    <row r="123" spans="1:17" ht="15" thickTop="1">
      <c r="A123" s="599"/>
      <c r="B123" s="538" t="s">
        <v>2608</v>
      </c>
      <c r="C123" s="2948" t="s">
        <v>3103</v>
      </c>
      <c r="D123" s="2948" t="s">
        <v>3093</v>
      </c>
      <c r="E123" s="2948" t="s">
        <v>3094</v>
      </c>
      <c r="F123" s="2947" t="s">
        <v>3095</v>
      </c>
      <c r="G123" s="583"/>
      <c r="H123" s="583"/>
      <c r="I123" s="583"/>
      <c r="J123" s="583"/>
      <c r="K123" s="584"/>
      <c r="L123" s="585"/>
      <c r="M123" s="586"/>
      <c r="N123" s="1153"/>
      <c r="O123" s="1153"/>
      <c r="P123" s="267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7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7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7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7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74"/>
      <c r="Q128" s="559"/>
    </row>
    <row r="129" spans="1:17" ht="15" thickTop="1">
      <c r="A129" s="599"/>
      <c r="B129" s="538">
        <f>B46</f>
        <v>111</v>
      </c>
      <c r="C129" s="554"/>
      <c r="D129" s="554"/>
      <c r="E129" s="554"/>
      <c r="F129" s="554"/>
      <c r="G129" s="583"/>
      <c r="H129" s="583"/>
      <c r="I129" s="583"/>
      <c r="J129" s="583"/>
      <c r="K129" s="584"/>
      <c r="L129" s="585"/>
      <c r="M129" s="586"/>
      <c r="N129" s="1153"/>
      <c r="O129" s="1153"/>
      <c r="P129" s="2673"/>
      <c r="Q129" s="504"/>
    </row>
    <row r="130" spans="1:17" ht="15.75" thickBot="1">
      <c r="A130" s="534"/>
      <c r="B130" s="543"/>
      <c r="C130" s="560"/>
      <c r="D130" s="560"/>
      <c r="E130" s="560"/>
      <c r="F130" s="560"/>
      <c r="G130" s="536"/>
      <c r="H130" s="536"/>
      <c r="I130" s="536"/>
      <c r="J130" s="536"/>
      <c r="K130" s="536"/>
      <c r="L130" s="536"/>
      <c r="M130" s="537"/>
      <c r="N130" s="1154"/>
      <c r="O130" s="1154"/>
      <c r="P130" s="2673"/>
      <c r="Q130" s="504"/>
    </row>
    <row r="131" spans="1:17" ht="15" thickTop="1">
      <c r="A131" s="599"/>
      <c r="B131" s="546">
        <f>B47</f>
        <v>111</v>
      </c>
      <c r="C131" s="523"/>
      <c r="D131" s="523"/>
      <c r="E131" s="523"/>
      <c r="F131" s="523"/>
      <c r="G131" s="587"/>
      <c r="H131" s="587"/>
      <c r="I131" s="587"/>
      <c r="J131" s="587"/>
      <c r="K131" s="523"/>
      <c r="L131" s="524"/>
      <c r="M131" s="590"/>
      <c r="N131" s="1153"/>
      <c r="O131" s="1153"/>
      <c r="P131" s="2673"/>
      <c r="Q131" s="504"/>
    </row>
    <row r="132" spans="1:17" ht="15.75" thickBot="1">
      <c r="A132" s="2625"/>
      <c r="B132" s="569"/>
      <c r="C132" s="570"/>
      <c r="D132" s="570"/>
      <c r="E132" s="570"/>
      <c r="F132" s="570"/>
      <c r="G132" s="591"/>
      <c r="H132" s="591"/>
      <c r="I132" s="591"/>
      <c r="J132" s="591"/>
      <c r="K132" s="591"/>
      <c r="L132" s="591"/>
      <c r="M132" s="592"/>
      <c r="N132" s="1154"/>
      <c r="O132" s="1154"/>
      <c r="P132" s="267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S32"/>
  <sheetViews>
    <sheetView topLeftCell="A52" workbookViewId="0">
      <selection activeCell="J57" sqref="J57"/>
    </sheetView>
  </sheetViews>
  <sheetFormatPr defaultRowHeight="13.5"/>
  <sheetData>
    <row r="4" spans="9:19">
      <c r="I4">
        <v>6000</v>
      </c>
      <c r="S4">
        <v>7560</v>
      </c>
    </row>
    <row r="5" spans="9:19">
      <c r="I5" s="2979">
        <v>1642.8</v>
      </c>
      <c r="S5" s="2979">
        <v>2160</v>
      </c>
    </row>
    <row r="31" spans="9:9">
      <c r="I31">
        <v>5362.5</v>
      </c>
    </row>
    <row r="32" spans="9:9">
      <c r="I32" s="2979">
        <v>1625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建筑物价值</v>
      </c>
      <c r="G2" s="2992"/>
      <c r="H2" s="2992" t="str">
        <f>IF(项目基本情况!B9="房地产市场价值","房地产市场价值","房地产价值")</f>
        <v>房地产价值</v>
      </c>
      <c r="I2" s="2992"/>
    </row>
    <row r="3" spans="1:9" ht="15">
      <c r="A3" s="2993"/>
      <c r="B3" s="2993"/>
      <c r="C3" s="2993"/>
      <c r="D3" s="1047" t="s">
        <v>1638</v>
      </c>
      <c r="E3" s="1047" t="s">
        <v>1644</v>
      </c>
      <c r="F3" s="1047" t="s">
        <v>1638</v>
      </c>
      <c r="G3" s="1047" t="s">
        <v>1639</v>
      </c>
      <c r="H3" s="1047" t="s">
        <v>1638</v>
      </c>
      <c r="I3" s="1047" t="s">
        <v>1639</v>
      </c>
    </row>
    <row r="4" spans="1:9" ht="30">
      <c r="A4" s="1973" t="str">
        <f>项目基本情况!S2</f>
        <v>北京市丰台区海鹰路6号院28号楼房地产</v>
      </c>
      <c r="B4" s="1047">
        <f>项目基本情况!C17</f>
        <v>1812.99</v>
      </c>
      <c r="C4" s="1047">
        <f>项目基本情况!C18</f>
        <v>1000.01</v>
      </c>
      <c r="D4" s="1047">
        <f ca="1">结果表!D118</f>
        <v>4518</v>
      </c>
      <c r="E4" s="1047">
        <f ca="1">结果表!E118</f>
        <v>24920</v>
      </c>
      <c r="F4" s="1047">
        <f ca="1">结果表!F118</f>
        <v>893</v>
      </c>
      <c r="G4" s="1047">
        <f ca="1">结果表!G118</f>
        <v>4926</v>
      </c>
      <c r="H4" s="1047">
        <f ca="1">结果表!H118</f>
        <v>5411</v>
      </c>
      <c r="I4" s="1047">
        <f ca="1">结果表!I118</f>
        <v>29846</v>
      </c>
    </row>
    <row r="5" spans="1:9" ht="30" customHeight="1">
      <c r="A5" s="2993" t="s">
        <v>1640</v>
      </c>
      <c r="B5" s="2993"/>
      <c r="C5" s="2993"/>
      <c r="D5" s="2994" t="str">
        <f ca="1">结果表!D119</f>
        <v>肆仟伍佰壹拾捌万元整</v>
      </c>
      <c r="E5" s="2994"/>
      <c r="F5" s="2994" t="str">
        <f ca="1">结果表!F119</f>
        <v>捌佰玖拾叁万元整</v>
      </c>
      <c r="G5" s="2994"/>
      <c r="H5" s="2994" t="str">
        <f ca="1">结果表!H119</f>
        <v>伍仟肆佰壹拾壹万元整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1640</v>
      </c>
      <c r="B7" s="2993"/>
      <c r="C7" s="2993"/>
      <c r="D7" s="2996" t="str">
        <f>结果表!D121</f>
        <v>零元整</v>
      </c>
      <c r="E7" s="2997"/>
      <c r="F7" s="2997"/>
      <c r="G7" s="2997"/>
      <c r="H7" s="2997"/>
      <c r="I7" s="2998"/>
    </row>
    <row r="8" spans="1:9" ht="15.75">
      <c r="A8" s="2995" t="str">
        <f>结果表!A122</f>
        <v>房地产抵押价值</v>
      </c>
      <c r="B8" s="2995"/>
      <c r="C8" s="2995"/>
      <c r="D8" s="2995">
        <f ca="1">结果表!D122</f>
        <v>5411</v>
      </c>
      <c r="E8" s="2995"/>
      <c r="F8" s="2995"/>
      <c r="G8" s="2995"/>
      <c r="H8" s="2995"/>
      <c r="I8" s="2995"/>
    </row>
    <row r="9" spans="1:9" ht="15">
      <c r="A9" s="2993" t="s">
        <v>1640</v>
      </c>
      <c r="B9" s="2993"/>
      <c r="C9" s="2993"/>
      <c r="D9" s="2994" t="str">
        <f ca="1">结果表!D123</f>
        <v>伍仟肆佰壹拾壹万元整</v>
      </c>
      <c r="E9" s="2994"/>
      <c r="F9" s="2994"/>
      <c r="G9" s="2994"/>
      <c r="H9" s="2994"/>
      <c r="I9" s="2994"/>
    </row>
    <row r="10" spans="1:9" ht="15.75">
      <c r="A10" s="2995" t="str">
        <f>结果表!A124</f>
        <v>抵押担保权已注销时的房地产抵押价值</v>
      </c>
      <c r="B10" s="2995"/>
      <c r="C10" s="2995"/>
      <c r="D10" s="2995">
        <f ca="1">结果表!D124</f>
        <v>5411</v>
      </c>
      <c r="E10" s="2995"/>
      <c r="F10" s="2995"/>
      <c r="G10" s="2995"/>
      <c r="H10" s="2995"/>
      <c r="I10" s="2995"/>
    </row>
    <row r="11" spans="1:9" ht="15">
      <c r="A11" s="2993" t="s">
        <v>1640</v>
      </c>
      <c r="B11" s="2993"/>
      <c r="C11" s="2993"/>
      <c r="D11" s="2994" t="str">
        <f ca="1">结果表!D125</f>
        <v>伍仟肆佰壹拾壹万元整</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2" t="s">
        <v>1662</v>
      </c>
      <c r="B1" s="3002"/>
      <c r="C1" s="3002"/>
      <c r="D1" s="3002"/>
    </row>
    <row r="2" spans="1:4" ht="18">
      <c r="A2" s="3003" t="s">
        <v>1646</v>
      </c>
      <c r="B2" s="3003"/>
      <c r="C2" s="3003"/>
      <c r="D2" s="3003"/>
    </row>
    <row r="3" spans="1:4" ht="18.75">
      <c r="A3" s="1977" t="s">
        <v>1647</v>
      </c>
      <c r="B3" s="1977" t="s">
        <v>1648</v>
      </c>
      <c r="C3" s="1977" t="s">
        <v>1649</v>
      </c>
      <c r="D3" s="1977" t="s">
        <v>1650</v>
      </c>
    </row>
    <row r="4" spans="1:4" ht="56.25" customHeight="1">
      <c r="A4" s="1978" t="str">
        <f>项目基本情况!B4</f>
        <v>欧红伟</v>
      </c>
      <c r="B4" s="1979">
        <f ca="1">项目基本情况!C4</f>
        <v>1120000080</v>
      </c>
      <c r="C4" s="1980"/>
      <c r="D4" s="1981" t="s">
        <v>1651</v>
      </c>
    </row>
    <row r="5" spans="1:4" ht="56.25" customHeight="1">
      <c r="A5" s="1978" t="str">
        <f>项目基本情况!D4</f>
        <v>郑燚</v>
      </c>
      <c r="B5" s="1979">
        <f ca="1">项目基本情况!E4</f>
        <v>1120070131</v>
      </c>
      <c r="C5" s="1982"/>
      <c r="D5" s="1981" t="s">
        <v>1651</v>
      </c>
    </row>
    <row r="6" spans="1:4" ht="18">
      <c r="A6" s="3003" t="s">
        <v>1652</v>
      </c>
      <c r="B6" s="3003"/>
      <c r="C6" s="3003"/>
      <c r="D6" s="3003"/>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04"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1656</v>
      </c>
      <c r="B16" s="3008"/>
      <c r="C16" s="3008"/>
      <c r="D16" s="3008"/>
    </row>
    <row r="17" spans="1:4" ht="144" customHeight="1">
      <c r="A17" s="3008" t="s">
        <v>1657</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1658</v>
      </c>
      <c r="B22" s="3010"/>
      <c r="C22" s="3010"/>
      <c r="D22" s="301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16" t="s">
        <v>1669</v>
      </c>
      <c r="B15" s="3011" t="s">
        <v>136</v>
      </c>
      <c r="C15" s="3012"/>
    </row>
    <row r="16" spans="1:7" ht="13.5">
      <c r="A16" s="3017"/>
      <c r="B16" s="3011" t="s">
        <v>69</v>
      </c>
      <c r="C16" s="3012"/>
    </row>
    <row r="17" spans="1:3" ht="13.5">
      <c r="A17" s="3017"/>
      <c r="B17" s="3014" t="s">
        <v>1670</v>
      </c>
      <c r="C17" s="2000" t="s">
        <v>1669</v>
      </c>
    </row>
    <row r="18" spans="1:3" ht="13.5">
      <c r="A18" s="3017"/>
      <c r="B18" s="3014"/>
      <c r="C18" s="2000" t="s">
        <v>1671</v>
      </c>
    </row>
    <row r="19" spans="1:3" ht="13.5">
      <c r="A19" s="3017"/>
      <c r="B19" s="3014"/>
      <c r="C19" s="2000" t="s">
        <v>1672</v>
      </c>
    </row>
    <row r="20" spans="1:3" ht="13.5">
      <c r="A20" s="3018"/>
      <c r="B20" s="3013" t="s">
        <v>1673</v>
      </c>
      <c r="C20" s="3012"/>
    </row>
    <row r="21" spans="1:3" ht="13.5">
      <c r="A21" s="2001" t="s">
        <v>1674</v>
      </c>
      <c r="B21" s="2002"/>
      <c r="C21" s="2003"/>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0" t="s">
        <v>1680</v>
      </c>
    </row>
    <row r="26" spans="1:3" ht="13.5">
      <c r="A26" s="3015"/>
      <c r="B26" s="3014"/>
      <c r="C26" s="2000" t="s">
        <v>1681</v>
      </c>
    </row>
    <row r="27" spans="1:3" ht="13.5">
      <c r="A27" s="3015"/>
      <c r="B27" s="3014"/>
      <c r="C27" s="2000" t="s">
        <v>1682</v>
      </c>
    </row>
    <row r="28" spans="1:3" ht="13.5">
      <c r="A28" s="3015"/>
      <c r="B28" s="3014"/>
      <c r="C28" s="2000" t="s">
        <v>1683</v>
      </c>
    </row>
    <row r="29" spans="1:3" ht="13.5">
      <c r="A29" s="3015"/>
      <c r="B29" s="3014"/>
      <c r="C29" s="2000" t="s">
        <v>1684</v>
      </c>
    </row>
    <row r="30" spans="1:3" ht="13.5">
      <c r="A30" s="3015"/>
      <c r="B30" s="3014"/>
      <c r="C30" s="2000" t="s">
        <v>1685</v>
      </c>
    </row>
    <row r="31" spans="1:3" ht="13.5">
      <c r="A31" s="3015"/>
      <c r="B31" s="3014"/>
      <c r="C31" s="2000" t="s">
        <v>1686</v>
      </c>
    </row>
    <row r="32" spans="1:3" ht="13.5">
      <c r="A32" s="3015"/>
      <c r="B32" s="3014"/>
      <c r="C32" s="2000" t="s">
        <v>1687</v>
      </c>
    </row>
    <row r="33" spans="1:3" ht="13.5">
      <c r="A33" s="3015"/>
      <c r="B33" s="301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43373</v>
      </c>
      <c r="C2" s="1022" t="s">
        <v>826</v>
      </c>
      <c r="D2" s="1022"/>
    </row>
    <row r="3" spans="1:6" ht="24" customHeight="1">
      <c r="A3" s="1023" t="s">
        <v>827</v>
      </c>
      <c r="B3" s="1024" t="s">
        <v>828</v>
      </c>
      <c r="C3" s="2334" t="s">
        <v>829</v>
      </c>
      <c r="D3" s="2337" t="s">
        <v>830</v>
      </c>
      <c r="E3" s="1025" t="s">
        <v>831</v>
      </c>
      <c r="F3" s="1024" t="s">
        <v>829</v>
      </c>
    </row>
    <row r="4" spans="1:6" ht="24" customHeight="1">
      <c r="A4" s="1702" t="s">
        <v>832</v>
      </c>
      <c r="B4" s="1025">
        <f ca="1">IF(C4&lt;B2,"已过期",1119970066)</f>
        <v>1119970066</v>
      </c>
      <c r="C4" s="2335">
        <v>43849</v>
      </c>
      <c r="D4" s="2338" t="s">
        <v>832</v>
      </c>
      <c r="E4" s="1025">
        <f ca="1">IF(F4&lt;B2,"已过期",96010014)</f>
        <v>96010014</v>
      </c>
      <c r="F4" s="1033">
        <v>47118</v>
      </c>
    </row>
    <row r="5" spans="1:6" ht="24" customHeight="1">
      <c r="A5" s="1702" t="s">
        <v>833</v>
      </c>
      <c r="B5" s="1025">
        <f ca="1">IF(C5&lt;B2,"已过期",1119970074)</f>
        <v>1119970074</v>
      </c>
      <c r="C5" s="2335">
        <v>43849</v>
      </c>
      <c r="D5" s="2338" t="s">
        <v>833</v>
      </c>
      <c r="E5" s="1025">
        <f ca="1">IF(F5&lt;B2,"已过期",2002110027)</f>
        <v>2002110027</v>
      </c>
      <c r="F5" s="1033">
        <v>46752</v>
      </c>
    </row>
    <row r="6" spans="1:6" ht="24" customHeight="1">
      <c r="A6" s="1702" t="s">
        <v>834</v>
      </c>
      <c r="B6" s="1025">
        <f ca="1">IF(C6&lt;B2,"已过期",1119970111)</f>
        <v>1119970111</v>
      </c>
      <c r="C6" s="2335">
        <v>43849</v>
      </c>
      <c r="D6" s="2338" t="s">
        <v>834</v>
      </c>
      <c r="E6" s="1025">
        <f ca="1">IF(F6&lt;B2,"已过期",94010078)</f>
        <v>94010078</v>
      </c>
      <c r="F6" s="1033">
        <v>46387</v>
      </c>
    </row>
    <row r="7" spans="1:6" ht="24" customHeight="1">
      <c r="A7" s="1702" t="s">
        <v>835</v>
      </c>
      <c r="B7" s="1025" t="str">
        <f ca="1">IF(C7&lt;B2,"已过期",1120050019)</f>
        <v>已过期</v>
      </c>
      <c r="C7" s="2335">
        <v>43359</v>
      </c>
      <c r="D7" s="2338" t="s">
        <v>835</v>
      </c>
      <c r="E7" s="1025">
        <f ca="1">IF(F7&lt;B2,"已过期",2002110030)</f>
        <v>2002110030</v>
      </c>
      <c r="F7" s="1033">
        <v>46387</v>
      </c>
    </row>
    <row r="8" spans="1:6" ht="24" customHeight="1">
      <c r="A8" s="1702" t="s">
        <v>836</v>
      </c>
      <c r="B8" s="1025">
        <f ca="1">IF(C8&lt;B2,"已过期",1120000080)</f>
        <v>1120000080</v>
      </c>
      <c r="C8" s="2335">
        <v>43849</v>
      </c>
      <c r="D8" s="2338" t="s">
        <v>836</v>
      </c>
      <c r="E8" s="1025">
        <f ca="1">IF(F8&lt;B2,"已过期",2000110082)</f>
        <v>2000110082</v>
      </c>
      <c r="F8" s="1033">
        <v>46387</v>
      </c>
    </row>
    <row r="9" spans="1:6" ht="24" customHeight="1">
      <c r="A9" s="1702" t="s">
        <v>837</v>
      </c>
      <c r="B9" s="1025">
        <f ca="1">IF(C9&lt;B2,"已过期",1419970001)</f>
        <v>1419970001</v>
      </c>
      <c r="C9" s="2335">
        <v>43867</v>
      </c>
      <c r="D9" s="2338" t="s">
        <v>837</v>
      </c>
      <c r="E9" s="1025">
        <f ca="1">IF(F9&lt;B2,"已过期",2002110125)</f>
        <v>2002110125</v>
      </c>
      <c r="F9" s="1033">
        <v>47118</v>
      </c>
    </row>
    <row r="10" spans="1:6" ht="24" customHeight="1">
      <c r="A10" s="1702" t="s">
        <v>838</v>
      </c>
      <c r="B10" s="1025">
        <f ca="1">IF(C10&lt;B2,"已过期",1120060040)</f>
        <v>1120060040</v>
      </c>
      <c r="C10" s="2335">
        <v>43483</v>
      </c>
      <c r="D10" s="2338" t="s">
        <v>838</v>
      </c>
      <c r="E10" s="1025">
        <f ca="1">IF(F10&lt;B2,"已过期",2004110096)</f>
        <v>2004110096</v>
      </c>
      <c r="F10" s="1033">
        <v>47118</v>
      </c>
    </row>
    <row r="11" spans="1:6" ht="24" customHeight="1">
      <c r="A11" s="1702" t="s">
        <v>839</v>
      </c>
      <c r="B11" s="1025">
        <f ca="1">IF(C11&lt;B2,"已过期",1120100036)</f>
        <v>1120100036</v>
      </c>
      <c r="C11" s="2335">
        <v>43622</v>
      </c>
      <c r="D11" s="2338" t="s">
        <v>839</v>
      </c>
      <c r="E11" s="1025">
        <f ca="1">IF(F11&lt;B2,"已过期",2010110070)</f>
        <v>2010110070</v>
      </c>
      <c r="F11" s="1033">
        <v>47907</v>
      </c>
    </row>
    <row r="12" spans="1:6" ht="24" customHeight="1">
      <c r="A12" s="1702" t="s">
        <v>3034</v>
      </c>
      <c r="B12" s="1025">
        <v>1120110054</v>
      </c>
      <c r="C12" s="2929">
        <v>43937</v>
      </c>
      <c r="D12" s="1702" t="s">
        <v>3034</v>
      </c>
      <c r="E12" s="1025">
        <v>2008110060</v>
      </c>
      <c r="F12" s="1033">
        <v>47177</v>
      </c>
    </row>
    <row r="13" spans="1:6" ht="24" customHeight="1">
      <c r="A13" s="1702" t="s">
        <v>840</v>
      </c>
      <c r="B13" s="1025">
        <f ca="1">IF(C13&lt;B2,"已过期",1120070131)</f>
        <v>1120070131</v>
      </c>
      <c r="C13" s="2335">
        <v>43814</v>
      </c>
      <c r="D13" s="2338" t="s">
        <v>840</v>
      </c>
      <c r="E13" s="1025">
        <v>2014110011</v>
      </c>
      <c r="F13" s="1033">
        <v>49302</v>
      </c>
    </row>
    <row r="14" spans="1:6" ht="24" customHeight="1">
      <c r="A14" s="1702" t="s">
        <v>841</v>
      </c>
      <c r="B14" s="1025">
        <f ca="1">IF(C14&lt;B2,"已过期",1120130020)</f>
        <v>1120130020</v>
      </c>
      <c r="C14" s="2335">
        <v>43622</v>
      </c>
      <c r="D14" s="2338"/>
      <c r="E14" s="1025"/>
      <c r="F14" s="1025"/>
    </row>
    <row r="15" spans="1:6" ht="24" customHeight="1">
      <c r="A15" s="1703" t="s">
        <v>1149</v>
      </c>
      <c r="B15" s="1025">
        <v>1120070085</v>
      </c>
      <c r="C15" s="2335">
        <v>43814</v>
      </c>
      <c r="D15" s="2339" t="s">
        <v>1149</v>
      </c>
      <c r="E15" s="1025">
        <v>2004110128</v>
      </c>
      <c r="F15" s="1026">
        <v>47118</v>
      </c>
    </row>
    <row r="16" spans="1:6" ht="24" customHeight="1">
      <c r="A16" s="1702" t="s">
        <v>842</v>
      </c>
      <c r="B16" s="1025">
        <f ca="1">IF(C16&lt;B2,"已过期",1120140022)</f>
        <v>1120140022</v>
      </c>
      <c r="C16" s="2335">
        <v>44029</v>
      </c>
      <c r="D16" s="2338" t="s">
        <v>842</v>
      </c>
      <c r="E16" s="1025">
        <f ca="1">IF(F16&lt;B2,"已过期",2008110059)</f>
        <v>2008110059</v>
      </c>
      <c r="F16" s="1033">
        <v>47177</v>
      </c>
    </row>
    <row r="17" spans="1:7" ht="24" customHeight="1">
      <c r="A17" s="1702"/>
      <c r="B17" s="1025"/>
      <c r="C17" s="2335"/>
      <c r="D17" s="2338"/>
      <c r="E17" s="1025"/>
      <c r="F17" s="1033"/>
    </row>
    <row r="18" spans="1:7" ht="24" customHeight="1">
      <c r="A18" s="1702"/>
      <c r="B18" s="1025"/>
      <c r="C18" s="2335"/>
      <c r="D18" s="2338"/>
      <c r="E18" s="1025"/>
      <c r="F18" s="1033"/>
    </row>
    <row r="19" spans="1:7" ht="24" customHeight="1">
      <c r="A19" s="1702"/>
      <c r="B19" s="1025"/>
      <c r="C19" s="2335"/>
      <c r="D19" s="2338"/>
      <c r="E19" s="1025"/>
      <c r="F19" s="1025"/>
    </row>
    <row r="20" spans="1:7" ht="24" customHeight="1">
      <c r="A20" s="1702"/>
      <c r="B20" s="1025"/>
      <c r="C20" s="2335"/>
      <c r="D20" s="2338"/>
      <c r="E20" s="1025"/>
      <c r="F20" s="1025"/>
    </row>
    <row r="21" spans="1:7" ht="24" customHeight="1">
      <c r="A21" s="1702"/>
      <c r="B21" s="1025"/>
      <c r="C21" s="2335"/>
      <c r="D21" s="2338" t="s">
        <v>843</v>
      </c>
      <c r="E21" s="1025">
        <f ca="1">IF(F21&lt;B2,"已过期",2011110090)</f>
        <v>2011110090</v>
      </c>
      <c r="F21" s="1033">
        <v>48302</v>
      </c>
    </row>
    <row r="22" spans="1:7" ht="24" customHeight="1">
      <c r="A22" s="1702" t="s">
        <v>844</v>
      </c>
      <c r="B22" s="1025">
        <f ca="1">IF(C22&lt;B2,"已过期",1120020033)</f>
        <v>1120020033</v>
      </c>
      <c r="C22" s="2929">
        <v>44339</v>
      </c>
      <c r="D22" s="2338" t="s">
        <v>844</v>
      </c>
      <c r="E22" s="1025">
        <f ca="1">IF(F22&lt;B2,"已过期",2000110137)</f>
        <v>2000110137</v>
      </c>
      <c r="F22" s="1033">
        <v>46387</v>
      </c>
    </row>
    <row r="23" spans="1:7" ht="24" customHeight="1">
      <c r="A23" s="1702" t="s">
        <v>845</v>
      </c>
      <c r="B23" s="1025">
        <f ca="1">IF(C23&lt;B2,"已过期",1120130048)</f>
        <v>1120130048</v>
      </c>
      <c r="C23" s="2335">
        <v>43686</v>
      </c>
      <c r="D23" s="2338"/>
      <c r="E23" s="1025"/>
      <c r="F23" s="1025"/>
    </row>
    <row r="24" spans="1:7" s="1027" customFormat="1" ht="24" customHeight="1">
      <c r="A24" s="1703" t="s">
        <v>1333</v>
      </c>
      <c r="B24" s="1703" t="s">
        <v>1333</v>
      </c>
      <c r="C24" s="2336" t="s">
        <v>1333</v>
      </c>
      <c r="D24" s="2339" t="s">
        <v>1333</v>
      </c>
      <c r="E24" s="1703" t="s">
        <v>1333</v>
      </c>
      <c r="F24" s="1703" t="s">
        <v>1333</v>
      </c>
    </row>
    <row r="25" spans="1:7" ht="24" customHeight="1">
      <c r="A25" s="3019" t="s">
        <v>846</v>
      </c>
      <c r="B25" s="3019"/>
      <c r="C25" s="3019"/>
      <c r="D25" s="3019"/>
      <c r="E25" s="3019"/>
      <c r="F25" s="3019"/>
      <c r="G25" s="3019"/>
    </row>
    <row r="26" spans="1:7" s="1028" customFormat="1" ht="24" customHeight="1">
      <c r="A26" s="3020" t="s">
        <v>847</v>
      </c>
      <c r="B26" s="3020"/>
      <c r="C26" s="3021"/>
      <c r="D26" s="3022" t="s">
        <v>848</v>
      </c>
      <c r="E26" s="3020"/>
      <c r="F26" s="3020"/>
    </row>
    <row r="27" spans="1:7" s="1030" customFormat="1" ht="24" customHeight="1">
      <c r="A27" s="1029" t="s">
        <v>849</v>
      </c>
      <c r="B27" s="1024" t="s">
        <v>850</v>
      </c>
      <c r="C27" s="2334" t="s">
        <v>851</v>
      </c>
      <c r="D27" s="2342" t="s">
        <v>849</v>
      </c>
      <c r="E27" s="1024" t="s">
        <v>850</v>
      </c>
      <c r="F27" s="1024" t="s">
        <v>851</v>
      </c>
    </row>
    <row r="28" spans="1:7" s="1030" customFormat="1" ht="24" customHeight="1">
      <c r="A28" s="1031" t="s">
        <v>852</v>
      </c>
      <c r="B28" s="1032" t="s">
        <v>853</v>
      </c>
      <c r="C28" s="2340">
        <v>43725</v>
      </c>
      <c r="D28" s="2343" t="s">
        <v>854</v>
      </c>
      <c r="E28" s="1031" t="s">
        <v>855</v>
      </c>
      <c r="F28" s="1059">
        <v>44377</v>
      </c>
    </row>
    <row r="29" spans="1:7" s="1030" customFormat="1" ht="24" customHeight="1">
      <c r="A29" s="1031"/>
      <c r="B29" s="1031"/>
      <c r="C29" s="2341"/>
      <c r="D29" s="2343" t="s">
        <v>856</v>
      </c>
      <c r="E29" s="1203" t="s">
        <v>1384</v>
      </c>
      <c r="F29" s="1204">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 (租金)</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2018-09-30T06:15:37Z</dcterms:modified>
</cp:coreProperties>
</file>