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4" r:id="rId46"/>
    <sheet name="售价" sheetId="85" r:id="rId47"/>
    <sheet name="Sheet3" sheetId="86"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9" i="69" l="1"/>
  <c r="C9" i="69"/>
  <c r="D10" i="69"/>
  <c r="C10" i="69"/>
  <c r="C8" i="69"/>
  <c r="E15" i="4"/>
  <c r="F6" i="1"/>
  <c r="I24" i="43"/>
  <c r="C24" i="43"/>
  <c r="C33" i="43"/>
  <c r="C6" i="69"/>
  <c r="C7" i="69"/>
  <c r="C5" i="69"/>
  <c r="C20" i="69"/>
  <c r="D5" i="73"/>
  <c r="D7"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E14" i="74"/>
  <c r="D14" i="74"/>
  <c r="B29" i="1"/>
  <c r="C23" i="43"/>
  <c r="G62" i="43"/>
  <c r="G63" i="43"/>
  <c r="G64" i="43"/>
  <c r="G65" i="43"/>
  <c r="G66" i="43"/>
  <c r="G67" i="43"/>
  <c r="G68" i="43"/>
  <c r="G69" i="43"/>
  <c r="G61" i="43"/>
  <c r="G44" i="43"/>
  <c r="D33" i="43"/>
  <c r="R48" i="34"/>
  <c r="D90" i="34"/>
  <c r="E90" i="34"/>
  <c r="F27" i="34"/>
  <c r="AA27" i="34"/>
  <c r="F37" i="34"/>
  <c r="AA37" i="34"/>
  <c r="F34" i="34"/>
  <c r="AA34" i="34"/>
  <c r="R49" i="34"/>
  <c r="T48" i="34"/>
  <c r="H27" i="34"/>
  <c r="AB27" i="34"/>
  <c r="H37" i="34"/>
  <c r="AB37" i="34"/>
  <c r="H34" i="34"/>
  <c r="AB34" i="34"/>
  <c r="T49" i="34"/>
  <c r="V48" i="34"/>
  <c r="J27" i="34"/>
  <c r="AC27" i="34"/>
  <c r="J37" i="34"/>
  <c r="AC37" i="34"/>
  <c r="J34" i="34"/>
  <c r="AC34" i="34"/>
  <c r="V49" i="34"/>
  <c r="R50" i="34"/>
  <c r="C50" i="34"/>
  <c r="B3" i="34"/>
  <c r="B43" i="1"/>
  <c r="B41" i="1"/>
  <c r="F32" i="67"/>
  <c r="F28" i="67"/>
  <c r="C28" i="67"/>
  <c r="C17" i="9"/>
  <c r="D17" i="9"/>
  <c r="C18" i="9"/>
  <c r="D18" i="9"/>
  <c r="D11" i="74"/>
  <c r="D12" i="74"/>
  <c r="B14" i="74"/>
  <c r="B24" i="31"/>
  <c r="B22" i="31"/>
  <c r="D18" i="31"/>
  <c r="E18" i="31"/>
  <c r="C18" i="31"/>
  <c r="E17" i="31"/>
  <c r="D17" i="31"/>
  <c r="C17" i="31"/>
  <c r="D4" i="31"/>
  <c r="E4" i="31"/>
  <c r="F4" i="31"/>
  <c r="C4" i="31"/>
  <c r="D3" i="31"/>
  <c r="E3" i="31"/>
  <c r="F3" i="31"/>
  <c r="C3" i="31"/>
  <c r="I10" i="34"/>
  <c r="G10" i="34"/>
  <c r="E10" i="34"/>
  <c r="C10" i="34"/>
  <c r="N19" i="1"/>
  <c r="N6" i="1"/>
  <c r="C37" i="34"/>
  <c r="BB13" i="3"/>
  <c r="BA13" i="3"/>
  <c r="AZ13" i="3"/>
  <c r="AZ5" i="3"/>
  <c r="E3" i="6"/>
  <c r="C34" i="34"/>
  <c r="E67" i="34"/>
  <c r="F67" i="34"/>
  <c r="G67" i="34"/>
  <c r="D67" i="34"/>
  <c r="D3" i="4"/>
  <c r="B2" i="1"/>
  <c r="C7" i="34"/>
  <c r="I7" i="34"/>
  <c r="G7" i="34"/>
  <c r="E7" i="34"/>
  <c r="J49" i="67"/>
  <c r="Y6" i="1"/>
  <c r="B25" i="31"/>
  <c r="B26" i="31"/>
  <c r="B27" i="31"/>
  <c r="B28" i="31"/>
  <c r="B29" i="31"/>
  <c r="B30" i="31"/>
  <c r="B31" i="31"/>
  <c r="B32" i="31"/>
  <c r="B33" i="31"/>
  <c r="B34" i="31"/>
  <c r="B35" i="31"/>
  <c r="B36" i="31"/>
  <c r="B37" i="31"/>
  <c r="B38" i="31"/>
  <c r="B39" i="31"/>
  <c r="B40" i="31"/>
  <c r="B41" i="31"/>
  <c r="A26" i="31"/>
  <c r="A27" i="31"/>
  <c r="A28" i="31"/>
  <c r="A29" i="31"/>
  <c r="A30" i="31"/>
  <c r="A31" i="31"/>
  <c r="A32" i="31"/>
  <c r="A33" i="31"/>
  <c r="A34" i="31"/>
  <c r="A35" i="31"/>
  <c r="A36" i="31"/>
  <c r="A37" i="31"/>
  <c r="A38" i="31"/>
  <c r="A39" i="31"/>
  <c r="A40" i="31"/>
  <c r="A41" i="31"/>
  <c r="A25" i="31"/>
  <c r="F19" i="6"/>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8" i="79"/>
  <c r="AD34" i="79"/>
  <c r="AD37" i="79"/>
  <c r="AD35" i="79"/>
  <c r="AD36" i="79"/>
  <c r="AR40" i="79"/>
  <c r="AR41" i="79"/>
  <c r="AR42" i="79"/>
  <c r="AR43" i="79"/>
  <c r="AR44" i="79"/>
  <c r="AR45" i="79"/>
  <c r="AR46" i="79"/>
  <c r="AR47" i="79"/>
  <c r="AR48" i="79"/>
  <c r="AR49" i="79"/>
  <c r="AR50" i="79"/>
  <c r="AR51" i="79"/>
  <c r="AR52" i="79"/>
  <c r="T40" i="79"/>
  <c r="AD47" i="79"/>
  <c r="S35" i="79"/>
  <c r="AG35" i="79"/>
  <c r="S33" i="79"/>
  <c r="AG33" i="79"/>
  <c r="S34" i="79"/>
  <c r="AG34" i="79"/>
  <c r="U46" i="79"/>
  <c r="AI46" i="79"/>
  <c r="U50" i="79"/>
  <c r="AI50" i="79"/>
  <c r="AR18" i="79"/>
  <c r="AR19" i="79"/>
  <c r="AR20" i="79"/>
  <c r="AR21" i="79"/>
  <c r="AR22" i="79"/>
  <c r="AR23" i="79"/>
  <c r="AR24" i="79"/>
  <c r="T33" i="79"/>
  <c r="T34" i="79"/>
  <c r="T35" i="79"/>
  <c r="Z3" i="79"/>
  <c r="AA31" i="79"/>
  <c r="AD31" i="79"/>
  <c r="S48" i="79"/>
  <c r="AG48" i="79"/>
  <c r="AD51" i="79"/>
  <c r="N31"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5" i="79"/>
  <c r="AK35" i="79"/>
  <c r="AH35" i="79"/>
  <c r="W15" i="79"/>
  <c r="AK15" i="79"/>
  <c r="AH15" i="79"/>
  <c r="W13" i="79"/>
  <c r="AK13" i="79"/>
  <c r="AH13" i="79"/>
  <c r="W48" i="79"/>
  <c r="AK48" i="79"/>
  <c r="AH48" i="79"/>
  <c r="W49" i="79"/>
  <c r="AK49" i="79"/>
  <c r="AH49" i="79"/>
  <c r="W43" i="79"/>
  <c r="AK43" i="79"/>
  <c r="AH43" i="79"/>
  <c r="W38" i="79"/>
  <c r="AK38" i="79"/>
  <c r="AH38" i="79"/>
  <c r="W34" i="79"/>
  <c r="AK34" i="79"/>
  <c r="AH34" i="79"/>
  <c r="W23" i="79"/>
  <c r="AK23" i="79"/>
  <c r="AH23" i="79"/>
  <c r="W12" i="79"/>
  <c r="AK12" i="79"/>
  <c r="AH12" i="79"/>
  <c r="W21" i="79"/>
  <c r="AK21" i="79"/>
  <c r="AH21" i="79"/>
  <c r="W47" i="79"/>
  <c r="AK47" i="79"/>
  <c r="AH47" i="79"/>
  <c r="W45" i="79"/>
  <c r="AK45" i="79"/>
  <c r="AH45" i="79"/>
  <c r="W33" i="79"/>
  <c r="AK33" i="79"/>
  <c r="AH33"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AA3" i="71"/>
  <c r="P19" i="71"/>
  <c r="O18" i="71"/>
  <c r="O19" i="71"/>
  <c r="N18" i="71"/>
  <c r="N19" i="71"/>
  <c r="AH18" i="71"/>
  <c r="AG18" i="71"/>
  <c r="AE18" i="71"/>
  <c r="AF18" i="71"/>
  <c r="AD18" i="71"/>
  <c r="F24" i="12"/>
  <c r="F7" i="69"/>
  <c r="F7" i="68"/>
  <c r="C7" i="68"/>
  <c r="C8"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E23" i="71"/>
  <c r="O25" i="71"/>
  <c r="N25" i="71"/>
  <c r="X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Y26" i="71"/>
  <c r="Z26" i="71"/>
  <c r="N26" i="71"/>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C67"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P38" i="71"/>
  <c r="AA38" i="71"/>
  <c r="O38" i="71"/>
  <c r="N38" i="71"/>
  <c r="Q37" i="71"/>
  <c r="AB37" i="71"/>
  <c r="P37" i="71"/>
  <c r="O37" i="71"/>
  <c r="Y37" i="71"/>
  <c r="Z37" i="71"/>
  <c r="N37" i="71"/>
  <c r="B38" i="71"/>
  <c r="D37" i="71"/>
  <c r="Q36" i="71"/>
  <c r="P36" i="71"/>
  <c r="O36" i="71"/>
  <c r="N36" i="71"/>
  <c r="X36" i="71"/>
  <c r="Q35" i="71"/>
  <c r="P35" i="71"/>
  <c r="O35" i="71"/>
  <c r="Y35" i="71"/>
  <c r="Z35" i="71"/>
  <c r="N35" i="71"/>
  <c r="Q34" i="71"/>
  <c r="AB34" i="71"/>
  <c r="P34" i="71"/>
  <c r="O34" i="71"/>
  <c r="N34" i="71"/>
  <c r="X33" i="71"/>
  <c r="Q33" i="71"/>
  <c r="F34" i="71"/>
  <c r="P33" i="71"/>
  <c r="O33" i="71"/>
  <c r="C34" i="71"/>
  <c r="N33" i="71"/>
  <c r="D33" i="71"/>
  <c r="Q32" i="71"/>
  <c r="AB32" i="71"/>
  <c r="P32" i="71"/>
  <c r="O32" i="71"/>
  <c r="N32" i="71"/>
  <c r="Q31" i="71"/>
  <c r="P31" i="71"/>
  <c r="O31" i="71"/>
  <c r="N31" i="71"/>
  <c r="Q30" i="71"/>
  <c r="P30" i="71"/>
  <c r="O30" i="71"/>
  <c r="C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E39" i="71"/>
  <c r="E40" i="71"/>
  <c r="U40" i="71"/>
  <c r="N68" i="71"/>
  <c r="E34" i="71"/>
  <c r="C30" i="71"/>
  <c r="Y29" i="71"/>
  <c r="Z29" i="71"/>
  <c r="AA35" i="71"/>
  <c r="C38" i="71"/>
  <c r="D38" i="71"/>
  <c r="X38" i="71"/>
  <c r="Y25" i="71"/>
  <c r="Z25" i="71"/>
  <c r="B28" i="71"/>
  <c r="B27" i="71"/>
  <c r="B26" i="71"/>
  <c r="X26" i="71"/>
  <c r="D30" i="71"/>
  <c r="C43" i="71"/>
  <c r="C44" i="71"/>
  <c r="P28" i="71"/>
  <c r="E28" i="71"/>
  <c r="U68" i="71"/>
  <c r="E67" i="71"/>
  <c r="Q28" i="71"/>
  <c r="AB25" i="71"/>
  <c r="C59" i="71"/>
  <c r="D58" i="71"/>
  <c r="D62" i="71"/>
  <c r="B66" i="71"/>
  <c r="N65" i="71"/>
  <c r="D68" i="71"/>
  <c r="Q68" i="71"/>
  <c r="E71" i="71"/>
  <c r="E70" i="71"/>
  <c r="D72" i="71"/>
  <c r="E75" i="71"/>
  <c r="E74" i="71"/>
  <c r="C79" i="71"/>
  <c r="E79" i="71"/>
  <c r="E78" i="71"/>
  <c r="D80" i="71"/>
  <c r="C83" i="71"/>
  <c r="C87" i="71"/>
  <c r="C86" i="71"/>
  <c r="D86" i="71"/>
  <c r="S28" i="71"/>
  <c r="F28" i="71"/>
  <c r="F27" i="71"/>
  <c r="F26" i="71"/>
  <c r="AB27" i="71"/>
  <c r="AA28" i="71"/>
  <c r="D83" i="71"/>
  <c r="C82" i="71"/>
  <c r="D82" i="71"/>
  <c r="N66" i="71"/>
  <c r="D79" i="71"/>
  <c r="C78" i="71"/>
  <c r="D78" i="71"/>
  <c r="C60" i="71"/>
  <c r="D60" i="71"/>
  <c r="D59" i="71"/>
  <c r="P67" i="71"/>
  <c r="E66" i="71"/>
  <c r="P65"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AA18" i="35"/>
  <c r="C18" i="35"/>
  <c r="Z21" i="37"/>
  <c r="Q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W25" i="40"/>
  <c r="H29" i="39"/>
  <c r="AB29" i="39"/>
  <c r="J29" i="39"/>
  <c r="AC29" i="39"/>
  <c r="J18" i="36"/>
  <c r="AC18" i="36"/>
  <c r="H18" i="35"/>
  <c r="AB18" i="35"/>
  <c r="J18" i="35"/>
  <c r="W18" i="35"/>
  <c r="H21" i="37"/>
  <c r="F21" i="37"/>
  <c r="AA21" i="37"/>
  <c r="H21" i="34"/>
  <c r="AB21" i="34"/>
  <c r="H21" i="33"/>
  <c r="F21" i="33"/>
  <c r="AA21" i="33"/>
  <c r="E83" i="21"/>
  <c r="F83" i="21"/>
  <c r="H1" i="69"/>
  <c r="AC25" i="40"/>
  <c r="U29" i="39"/>
  <c r="W29" i="39"/>
  <c r="W18" i="36"/>
  <c r="S21" i="37"/>
  <c r="S21" i="33"/>
  <c r="AC18" i="35"/>
  <c r="J21" i="37"/>
  <c r="W21" i="37"/>
  <c r="G84" i="34"/>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A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AZ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44" i="31"/>
  <c r="S44" i="31"/>
  <c r="R45" i="31"/>
  <c r="S45" i="31"/>
  <c r="R46" i="31"/>
  <c r="R47" i="31"/>
  <c r="R48" i="31"/>
  <c r="S48" i="31"/>
  <c r="R49" i="31"/>
  <c r="S49" i="31"/>
  <c r="R50" i="31"/>
  <c r="R51" i="31"/>
  <c r="S51" i="31"/>
  <c r="R52" i="31"/>
  <c r="S52" i="31"/>
  <c r="R53" i="31"/>
  <c r="S53" i="31"/>
  <c r="R54" i="31"/>
  <c r="R55" i="31"/>
  <c r="S55" i="31"/>
  <c r="R56" i="31"/>
  <c r="S56" i="31"/>
  <c r="R57" i="31"/>
  <c r="S57" i="31"/>
  <c r="R58" i="31"/>
  <c r="R59" i="31"/>
  <c r="R60" i="31"/>
  <c r="S60" i="31"/>
  <c r="R61" i="31"/>
  <c r="S61" i="31"/>
  <c r="R62" i="31"/>
  <c r="R63" i="31"/>
  <c r="R64" i="31"/>
  <c r="S64" i="31"/>
  <c r="R65" i="31"/>
  <c r="S65" i="31"/>
  <c r="R66" i="31"/>
  <c r="R67" i="31"/>
  <c r="S67" i="31"/>
  <c r="R68" i="31"/>
  <c r="R69" i="31"/>
  <c r="S69" i="31"/>
  <c r="R70" i="31"/>
  <c r="R71" i="31"/>
  <c r="S71" i="31"/>
  <c r="R72" i="31"/>
  <c r="S72" i="31"/>
  <c r="R73" i="31"/>
  <c r="S73" i="31"/>
  <c r="R74" i="31"/>
  <c r="R75" i="31"/>
  <c r="R76" i="31"/>
  <c r="S76" i="31"/>
  <c r="R77" i="31"/>
  <c r="S77" i="31"/>
  <c r="R78" i="31"/>
  <c r="R79" i="31"/>
  <c r="R80" i="31"/>
  <c r="S80" i="31"/>
  <c r="R81" i="31"/>
  <c r="S81" i="31"/>
  <c r="R82" i="31"/>
  <c r="R83" i="31"/>
  <c r="S83" i="31"/>
  <c r="R84" i="31"/>
  <c r="R85" i="31"/>
  <c r="S85" i="31"/>
  <c r="R86" i="31"/>
  <c r="R87" i="31"/>
  <c r="S87" i="31"/>
  <c r="R88" i="31"/>
  <c r="S88" i="31"/>
  <c r="R89" i="31"/>
  <c r="S89" i="31"/>
  <c r="R90" i="31"/>
  <c r="R91" i="31"/>
  <c r="R92" i="31"/>
  <c r="S92" i="31"/>
  <c r="R93" i="31"/>
  <c r="S93" i="31"/>
  <c r="R94" i="31"/>
  <c r="R95" i="31"/>
  <c r="R96" i="31"/>
  <c r="S96" i="31"/>
  <c r="R97" i="31"/>
  <c r="S97" i="31"/>
  <c r="R98" i="31"/>
  <c r="R99" i="31"/>
  <c r="R100" i="31"/>
  <c r="R101" i="31"/>
  <c r="S101" i="31"/>
  <c r="R102" i="31"/>
  <c r="R103" i="31"/>
  <c r="S103" i="31"/>
  <c r="R104" i="31"/>
  <c r="S104" i="31"/>
  <c r="R105" i="31"/>
  <c r="S105" i="31"/>
  <c r="R106" i="31"/>
  <c r="R107" i="31"/>
  <c r="S107" i="31"/>
  <c r="R108" i="31"/>
  <c r="S108" i="31"/>
  <c r="R109" i="31"/>
  <c r="S109" i="31"/>
  <c r="R110" i="31"/>
  <c r="R111" i="31"/>
  <c r="R112" i="31"/>
  <c r="S112" i="31"/>
  <c r="R113" i="31"/>
  <c r="S113" i="31"/>
  <c r="R114" i="31"/>
  <c r="R115" i="31"/>
  <c r="R116" i="31"/>
  <c r="S116" i="31"/>
  <c r="R117" i="31"/>
  <c r="S117" i="31"/>
  <c r="R118" i="31"/>
  <c r="R119" i="31"/>
  <c r="S119" i="31"/>
  <c r="R120" i="31"/>
  <c r="R121" i="31"/>
  <c r="S121" i="31"/>
  <c r="R122" i="31"/>
  <c r="R123" i="31"/>
  <c r="R124" i="31"/>
  <c r="S124" i="31"/>
  <c r="R125" i="31"/>
  <c r="S125" i="31"/>
  <c r="R126" i="31"/>
  <c r="R127" i="31"/>
  <c r="S127" i="31"/>
  <c r="R128" i="31"/>
  <c r="S128" i="31"/>
  <c r="R129" i="31"/>
  <c r="S129" i="31"/>
  <c r="R130" i="31"/>
  <c r="R131" i="31"/>
  <c r="R132" i="31"/>
  <c r="S132" i="31"/>
  <c r="R133" i="31"/>
  <c r="S133" i="31"/>
  <c r="R134" i="31"/>
  <c r="R135" i="31"/>
  <c r="S135" i="31"/>
  <c r="R136" i="31"/>
  <c r="S136" i="31"/>
  <c r="R137" i="31"/>
  <c r="S137" i="31"/>
  <c r="R138" i="31"/>
  <c r="R139" i="31"/>
  <c r="R140" i="31"/>
  <c r="S140" i="31"/>
  <c r="R141" i="31"/>
  <c r="S141" i="31"/>
  <c r="R142" i="31"/>
  <c r="R143" i="31"/>
  <c r="S143" i="31"/>
  <c r="R144" i="31"/>
  <c r="S144" i="31"/>
  <c r="R145" i="31"/>
  <c r="S145" i="31"/>
  <c r="R146" i="31"/>
  <c r="R147" i="31"/>
  <c r="R148" i="31"/>
  <c r="S148" i="31"/>
  <c r="R149" i="31"/>
  <c r="S149" i="31"/>
  <c r="R150" i="31"/>
  <c r="R151" i="31"/>
  <c r="S151" i="31"/>
  <c r="R152" i="31"/>
  <c r="S152" i="31"/>
  <c r="R153" i="31"/>
  <c r="S153" i="31"/>
  <c r="R154" i="31"/>
  <c r="R155" i="31"/>
  <c r="S155" i="31"/>
  <c r="R156" i="31"/>
  <c r="S156" i="31"/>
  <c r="R157" i="31"/>
  <c r="S157" i="31"/>
  <c r="R158" i="31"/>
  <c r="R159" i="31"/>
  <c r="R160" i="31"/>
  <c r="S160" i="31"/>
  <c r="R161" i="31"/>
  <c r="S161" i="31"/>
  <c r="R162" i="31"/>
  <c r="R163" i="31"/>
  <c r="S163" i="31"/>
  <c r="R164" i="31"/>
  <c r="S164" i="31"/>
  <c r="R165" i="31"/>
  <c r="S165" i="31"/>
  <c r="R166" i="31"/>
  <c r="R167" i="31"/>
  <c r="R168" i="31"/>
  <c r="S168" i="31"/>
  <c r="R169" i="31"/>
  <c r="S169" i="31"/>
  <c r="R170" i="31"/>
  <c r="R171" i="31"/>
  <c r="S171" i="31"/>
  <c r="R172" i="31"/>
  <c r="S172" i="31"/>
  <c r="R173" i="31"/>
  <c r="S173" i="31"/>
  <c r="R174" i="31"/>
  <c r="R175" i="31"/>
  <c r="R176" i="31"/>
  <c r="S176" i="31"/>
  <c r="R177" i="31"/>
  <c r="S177" i="31"/>
  <c r="R178" i="31"/>
  <c r="R179" i="31"/>
  <c r="S179" i="31"/>
  <c r="R180" i="31"/>
  <c r="S180" i="31"/>
  <c r="R181" i="31"/>
  <c r="S181" i="31"/>
  <c r="R182" i="31"/>
  <c r="R183" i="31"/>
  <c r="R184" i="31"/>
  <c r="S184" i="31"/>
  <c r="R185" i="31"/>
  <c r="S185" i="31"/>
  <c r="R186" i="31"/>
  <c r="R187" i="31"/>
  <c r="S187" i="31"/>
  <c r="R188" i="31"/>
  <c r="S188" i="31"/>
  <c r="R189" i="31"/>
  <c r="S189" i="31"/>
  <c r="R190" i="31"/>
  <c r="R191" i="31"/>
  <c r="R192" i="31"/>
  <c r="S192" i="31"/>
  <c r="R193" i="31"/>
  <c r="S193" i="31"/>
  <c r="R194" i="31"/>
  <c r="R195" i="31"/>
  <c r="S195" i="31"/>
  <c r="R196" i="31"/>
  <c r="S196" i="31"/>
  <c r="R197" i="31"/>
  <c r="S197" i="31"/>
  <c r="R198" i="31"/>
  <c r="R199" i="31"/>
  <c r="R200" i="31"/>
  <c r="S200" i="31"/>
  <c r="R201" i="31"/>
  <c r="S201" i="31"/>
  <c r="R202" i="31"/>
  <c r="R203" i="31"/>
  <c r="S203" i="31"/>
  <c r="R204" i="31"/>
  <c r="S204" i="31"/>
  <c r="R205" i="31"/>
  <c r="S205" i="31"/>
  <c r="R206" i="31"/>
  <c r="R207" i="31"/>
  <c r="R208" i="31"/>
  <c r="S208" i="31"/>
  <c r="R209" i="31"/>
  <c r="S209" i="31"/>
  <c r="R210" i="31"/>
  <c r="R211" i="31"/>
  <c r="S211" i="31"/>
  <c r="R212" i="31"/>
  <c r="S212" i="31"/>
  <c r="R213" i="31"/>
  <c r="S213" i="31"/>
  <c r="R214" i="31"/>
  <c r="R215" i="31"/>
  <c r="R216" i="31"/>
  <c r="S216" i="31"/>
  <c r="R217" i="31"/>
  <c r="S217" i="31"/>
  <c r="R218" i="31"/>
  <c r="R219" i="31"/>
  <c r="S219" i="31"/>
  <c r="R220" i="31"/>
  <c r="S220" i="31"/>
  <c r="R221" i="31"/>
  <c r="S221" i="31"/>
  <c r="R222" i="31"/>
  <c r="R223" i="31"/>
  <c r="S223" i="31"/>
  <c r="R224" i="31"/>
  <c r="S224" i="31"/>
  <c r="R225" i="31"/>
  <c r="S225" i="31"/>
  <c r="R226" i="31"/>
  <c r="R227" i="31"/>
  <c r="R228" i="31"/>
  <c r="S228" i="31"/>
  <c r="R229" i="31"/>
  <c r="S229" i="31"/>
  <c r="R230" i="31"/>
  <c r="R231" i="31"/>
  <c r="S231" i="31"/>
  <c r="R232" i="31"/>
  <c r="S232" i="31"/>
  <c r="R233" i="31"/>
  <c r="S233" i="31"/>
  <c r="R234" i="31"/>
  <c r="R235" i="31"/>
  <c r="S235" i="31"/>
  <c r="R236" i="31"/>
  <c r="S236" i="31"/>
  <c r="R237" i="31"/>
  <c r="S237" i="31"/>
  <c r="R238" i="31"/>
  <c r="R239" i="31"/>
  <c r="R240" i="31"/>
  <c r="S240" i="31"/>
  <c r="R241" i="31"/>
  <c r="S241" i="31"/>
  <c r="R242" i="31"/>
  <c r="R243" i="31"/>
  <c r="S243" i="31"/>
  <c r="R244" i="31"/>
  <c r="S244" i="31"/>
  <c r="R245" i="31"/>
  <c r="S245" i="31"/>
  <c r="R246" i="31"/>
  <c r="R247" i="31"/>
  <c r="R248" i="31"/>
  <c r="S248" i="31"/>
  <c r="R249" i="31"/>
  <c r="S249" i="31"/>
  <c r="R250" i="31"/>
  <c r="R251" i="31"/>
  <c r="S251" i="31"/>
  <c r="R252" i="31"/>
  <c r="S252" i="31"/>
  <c r="R253" i="31"/>
  <c r="S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S428" i="31"/>
  <c r="R429" i="31"/>
  <c r="S429" i="31"/>
  <c r="R430" i="31"/>
  <c r="R431" i="31"/>
  <c r="S431" i="31"/>
  <c r="R432" i="31"/>
  <c r="S432" i="31"/>
  <c r="R433" i="31"/>
  <c r="S433" i="31"/>
  <c r="R434" i="31"/>
  <c r="R435" i="31"/>
  <c r="R436" i="31"/>
  <c r="S436" i="31"/>
  <c r="R437" i="31"/>
  <c r="S437" i="31"/>
  <c r="R438" i="31"/>
  <c r="R439" i="31"/>
  <c r="S439" i="31"/>
  <c r="R440" i="31"/>
  <c r="S440" i="31"/>
  <c r="R441" i="31"/>
  <c r="S441" i="31"/>
  <c r="R442" i="31"/>
  <c r="R443" i="31"/>
  <c r="R444" i="31"/>
  <c r="S444" i="31"/>
  <c r="R445" i="31"/>
  <c r="S445" i="31"/>
  <c r="R446" i="31"/>
  <c r="R447" i="31"/>
  <c r="S447" i="31"/>
  <c r="R448" i="31"/>
  <c r="S448" i="31"/>
  <c r="R449" i="31"/>
  <c r="S449" i="31"/>
  <c r="R450" i="31"/>
  <c r="R451" i="31"/>
  <c r="R452" i="31"/>
  <c r="S452" i="31"/>
  <c r="R453" i="31"/>
  <c r="S453" i="31"/>
  <c r="R454" i="31"/>
  <c r="R455" i="31"/>
  <c r="S455" i="31"/>
  <c r="R456" i="31"/>
  <c r="S456" i="31"/>
  <c r="R457" i="31"/>
  <c r="S457" i="31"/>
  <c r="R458" i="31"/>
  <c r="R459" i="31"/>
  <c r="R460" i="31"/>
  <c r="S460" i="31"/>
  <c r="R461" i="31"/>
  <c r="S461" i="31"/>
  <c r="R462" i="31"/>
  <c r="R463" i="31"/>
  <c r="S463" i="31"/>
  <c r="R464" i="31"/>
  <c r="S464" i="31"/>
  <c r="R465" i="31"/>
  <c r="S465" i="31"/>
  <c r="R466" i="31"/>
  <c r="R467" i="31"/>
  <c r="R468" i="31"/>
  <c r="S468" i="31"/>
  <c r="R469" i="31"/>
  <c r="S469" i="31"/>
  <c r="R470" i="31"/>
  <c r="R471" i="31"/>
  <c r="R472" i="31"/>
  <c r="S472" i="31"/>
  <c r="R473" i="31"/>
  <c r="S473" i="31"/>
  <c r="R474" i="31"/>
  <c r="R475" i="31"/>
  <c r="S475" i="31"/>
  <c r="R476" i="31"/>
  <c r="S476" i="31"/>
  <c r="R477" i="31"/>
  <c r="S477" i="31"/>
  <c r="R478" i="31"/>
  <c r="R479" i="31"/>
  <c r="R480" i="31"/>
  <c r="S480" i="31"/>
  <c r="R481" i="31"/>
  <c r="S481" i="31"/>
  <c r="R482" i="31"/>
  <c r="R483" i="31"/>
  <c r="S483" i="31"/>
  <c r="R484" i="31"/>
  <c r="S484" i="31"/>
  <c r="R485" i="31"/>
  <c r="S485" i="31"/>
  <c r="R486" i="31"/>
  <c r="R487" i="31"/>
  <c r="R488" i="31"/>
  <c r="S488" i="31"/>
  <c r="R489" i="31"/>
  <c r="S489" i="31"/>
  <c r="R490" i="31"/>
  <c r="R491" i="31"/>
  <c r="S491" i="31"/>
  <c r="R492" i="31"/>
  <c r="S492" i="31"/>
  <c r="R493" i="31"/>
  <c r="S493" i="31"/>
  <c r="R494" i="31"/>
  <c r="R495" i="31"/>
  <c r="R496" i="31"/>
  <c r="S496" i="31"/>
  <c r="R497" i="31"/>
  <c r="S497" i="31"/>
  <c r="R498" i="31"/>
  <c r="R499" i="31"/>
  <c r="R500" i="31"/>
  <c r="S500" i="31"/>
  <c r="R501" i="31"/>
  <c r="S501" i="31"/>
  <c r="R502" i="31"/>
  <c r="R503" i="31"/>
  <c r="S503" i="31"/>
  <c r="R504" i="31"/>
  <c r="S504" i="31"/>
  <c r="R505" i="31"/>
  <c r="S505" i="31"/>
  <c r="R506" i="31"/>
  <c r="R507" i="31"/>
  <c r="R508" i="31"/>
  <c r="S508" i="31"/>
  <c r="R509" i="31"/>
  <c r="S509" i="31"/>
  <c r="R510" i="31"/>
  <c r="R511" i="31"/>
  <c r="S511" i="31"/>
  <c r="R512" i="31"/>
  <c r="S512" i="31"/>
  <c r="R513" i="31"/>
  <c r="S513" i="31"/>
  <c r="R514" i="31"/>
  <c r="R515" i="31"/>
  <c r="R516" i="31"/>
  <c r="S516" i="31"/>
  <c r="R517" i="31"/>
  <c r="S517" i="31"/>
  <c r="R518" i="31"/>
  <c r="R519" i="31"/>
  <c r="S519" i="31"/>
  <c r="R520" i="31"/>
  <c r="S520" i="31"/>
  <c r="R521" i="31"/>
  <c r="S521" i="31"/>
  <c r="R522" i="31"/>
  <c r="R523" i="31"/>
  <c r="R524" i="31"/>
  <c r="S524" i="31"/>
  <c r="C25" i="31"/>
  <c r="C26" i="31"/>
  <c r="C27" i="31"/>
  <c r="C28" i="31"/>
  <c r="C29" i="31"/>
  <c r="C30" i="31"/>
  <c r="C31" i="31"/>
  <c r="C32" i="31"/>
  <c r="C33" i="31"/>
  <c r="C34" i="31"/>
  <c r="C35" i="31"/>
  <c r="C36" i="31"/>
  <c r="C37" i="31"/>
  <c r="C38" i="31"/>
  <c r="C39" i="31"/>
  <c r="C40" i="31"/>
  <c r="C41" i="31"/>
  <c r="C42" i="31"/>
  <c r="R42" i="31"/>
  <c r="S42" i="31"/>
  <c r="C43" i="31"/>
  <c r="R43" i="31"/>
  <c r="S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8" i="31"/>
  <c r="S522"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H15"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H36" i="39"/>
  <c r="AB36" i="39"/>
  <c r="J35" i="39"/>
  <c r="AC35" i="39"/>
  <c r="F35" i="39"/>
  <c r="AA35" i="39"/>
  <c r="U9" i="39"/>
  <c r="U30" i="37"/>
  <c r="W31" i="37"/>
  <c r="E103" i="37"/>
  <c r="F103" i="37"/>
  <c r="G103" i="37"/>
  <c r="H103" i="37"/>
  <c r="I103" i="37"/>
  <c r="J103" i="37"/>
  <c r="K103" i="37"/>
  <c r="L103" i="37"/>
  <c r="M103" i="37"/>
  <c r="F39" i="37"/>
  <c r="S39" i="37"/>
  <c r="F29" i="36"/>
  <c r="AA29" i="36"/>
  <c r="F16" i="36"/>
  <c r="AA16" i="36"/>
  <c r="W28" i="36"/>
  <c r="H22" i="35"/>
  <c r="AB22" i="35"/>
  <c r="W28" i="35"/>
  <c r="U31" i="35"/>
  <c r="W22" i="35"/>
  <c r="S31" i="35"/>
  <c r="U34" i="35"/>
  <c r="F36" i="34"/>
  <c r="S36" i="34"/>
  <c r="J35" i="34"/>
  <c r="H39" i="33"/>
  <c r="AB39" i="33"/>
  <c r="F26" i="33"/>
  <c r="AA26" i="33"/>
  <c r="U33" i="33"/>
  <c r="U35" i="33"/>
  <c r="W33" i="33"/>
  <c r="W39" i="33"/>
  <c r="H39" i="37"/>
  <c r="AB39" i="37"/>
  <c r="S27" i="35"/>
  <c r="F11" i="40"/>
  <c r="AA11" i="40"/>
  <c r="H11" i="40"/>
  <c r="AB11" i="40"/>
  <c r="W8" i="40"/>
  <c r="AB39" i="40"/>
  <c r="U9" i="40"/>
  <c r="S34" i="40"/>
  <c r="U38" i="40"/>
  <c r="U34"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28" i="34"/>
  <c r="AA28" i="34"/>
  <c r="F25" i="34"/>
  <c r="S25" i="34"/>
  <c r="H23" i="34"/>
  <c r="U23" i="34"/>
  <c r="J23" i="34"/>
  <c r="AC23" i="34"/>
  <c r="F19" i="34"/>
  <c r="AA19" i="34"/>
  <c r="H17" i="34"/>
  <c r="U17" i="34"/>
  <c r="F15" i="34"/>
  <c r="AA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W43" i="34"/>
  <c r="AB42" i="34"/>
  <c r="J40" i="34"/>
  <c r="F114" i="34"/>
  <c r="G114" i="34"/>
  <c r="H114" i="34"/>
  <c r="I114" i="34"/>
  <c r="J114" i="34"/>
  <c r="K114" i="34"/>
  <c r="L114" i="34"/>
  <c r="M114" i="34"/>
  <c r="H38" i="34"/>
  <c r="AB38" i="34"/>
  <c r="J36" i="34"/>
  <c r="W36" i="34"/>
  <c r="H25" i="34"/>
  <c r="AB25" i="34"/>
  <c r="J25" i="34"/>
  <c r="AC25" i="34"/>
  <c r="F23" i="34"/>
  <c r="AA23"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BA578" i="3"/>
  <c r="BA576" i="3"/>
  <c r="BA574" i="3"/>
  <c r="AZ574" i="3"/>
  <c r="BA572" i="3"/>
  <c r="AZ572" i="3"/>
  <c r="BA570" i="3"/>
  <c r="AZ570" i="3"/>
  <c r="BA568" i="3"/>
  <c r="BA566" i="3"/>
  <c r="AZ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G507" i="3"/>
  <c r="G505" i="3"/>
  <c r="G503" i="3"/>
  <c r="G501" i="3"/>
  <c r="G499" i="3"/>
  <c r="G497" i="3"/>
  <c r="G495" i="3"/>
  <c r="BQ507" i="3"/>
  <c r="BQ505" i="3"/>
  <c r="BL505" i="3"/>
  <c r="AZ505" i="3"/>
  <c r="BQ503" i="3"/>
  <c r="BL503" i="3"/>
  <c r="BQ501" i="3"/>
  <c r="BL501" i="3"/>
  <c r="AZ501" i="3"/>
  <c r="BQ499" i="3"/>
  <c r="BL499" i="3"/>
  <c r="AZ499" i="3"/>
  <c r="BQ497" i="3"/>
  <c r="BL497" i="3"/>
  <c r="AZ497" i="3"/>
  <c r="BQ495" i="3"/>
  <c r="BL495" i="3"/>
  <c r="BQ493" i="3"/>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F39" i="33"/>
  <c r="AA39" i="33"/>
  <c r="E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G4" i="4"/>
  <c r="I4" i="4"/>
  <c r="F61" i="43"/>
  <c r="H64" i="43"/>
  <c r="BL549" i="3"/>
  <c r="AZ549" i="3"/>
  <c r="AZ494" i="3"/>
  <c r="AZ514" i="3"/>
  <c r="AZ522" i="3"/>
  <c r="AZ530" i="3"/>
  <c r="G546" i="3"/>
  <c r="G524" i="3"/>
  <c r="G303" i="3"/>
  <c r="BL304" i="3"/>
  <c r="G305" i="3"/>
  <c r="BL306" i="3"/>
  <c r="BA308" i="3"/>
  <c r="AZ308" i="3"/>
  <c r="BA309" i="3"/>
  <c r="BL309" i="3"/>
  <c r="G310" i="3"/>
  <c r="BA311" i="3"/>
  <c r="G319" i="3"/>
  <c r="BL320" i="3"/>
  <c r="AZ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AZ152" i="3"/>
  <c r="G153" i="3"/>
  <c r="BA155" i="3"/>
  <c r="BL156" i="3"/>
  <c r="G157" i="3"/>
  <c r="BA159" i="3"/>
  <c r="BL160" i="3"/>
  <c r="AZ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97" i="3"/>
  <c r="AZ105"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54" i="3"/>
  <c r="AZ500" i="3"/>
  <c r="BA16" i="3"/>
  <c r="BL303" i="3"/>
  <c r="G304" i="3"/>
  <c r="BA306" i="3"/>
  <c r="BL307" i="3"/>
  <c r="G308" i="3"/>
  <c r="BA310" i="3"/>
  <c r="AZ310" i="3"/>
  <c r="BL311" i="3"/>
  <c r="AZ311" i="3"/>
  <c r="G312" i="3"/>
  <c r="BA314" i="3"/>
  <c r="BL315" i="3"/>
  <c r="G316" i="3"/>
  <c r="BA318" i="3"/>
  <c r="BL319" i="3"/>
  <c r="AZ319" i="3"/>
  <c r="G320" i="3"/>
  <c r="BA322" i="3"/>
  <c r="AZ322" i="3"/>
  <c r="BL323" i="3"/>
  <c r="G324" i="3"/>
  <c r="BA326" i="3"/>
  <c r="AZ326" i="3"/>
  <c r="BL327" i="3"/>
  <c r="AZ327" i="3"/>
  <c r="G328" i="3"/>
  <c r="BA330" i="3"/>
  <c r="BL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G375" i="3"/>
  <c r="BA377" i="3"/>
  <c r="AZ377" i="3"/>
  <c r="AZ237" i="3"/>
  <c r="AZ245" i="3"/>
  <c r="BA379" i="3"/>
  <c r="AZ379" i="3"/>
  <c r="BL380" i="3"/>
  <c r="G381" i="3"/>
  <c r="BA383" i="3"/>
  <c r="AZ383" i="3"/>
  <c r="BL384" i="3"/>
  <c r="G385" i="3"/>
  <c r="BA387" i="3"/>
  <c r="AZ387" i="3"/>
  <c r="BL388" i="3"/>
  <c r="G389" i="3"/>
  <c r="BA391" i="3"/>
  <c r="BL392" i="3"/>
  <c r="AZ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c r="F50" i="43"/>
  <c r="H54" i="43"/>
  <c r="F72" i="43"/>
  <c r="H75" i="43"/>
  <c r="U17" i="39"/>
  <c r="S14" i="35"/>
  <c r="U43" i="21"/>
  <c r="U35" i="21"/>
  <c r="AC35" i="21"/>
  <c r="AZ563"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F43" i="34"/>
  <c r="AA43" i="34"/>
  <c r="H44" i="34"/>
  <c r="U44" i="34"/>
  <c r="AC38" i="39"/>
  <c r="F39" i="39"/>
  <c r="J39" i="39"/>
  <c r="AC39" i="39"/>
  <c r="E96" i="39"/>
  <c r="F96" i="39"/>
  <c r="G96" i="39"/>
  <c r="C40" i="11"/>
  <c r="AZ240" i="3"/>
  <c r="AZ256" i="3"/>
  <c r="AZ271" i="3"/>
  <c r="AZ280" i="3"/>
  <c r="AZ50" i="3"/>
  <c r="AZ110" i="3"/>
  <c r="F23" i="39"/>
  <c r="AA23" i="39"/>
  <c r="H27" i="36"/>
  <c r="U27" i="36"/>
  <c r="F27" i="36"/>
  <c r="AA27" i="36"/>
  <c r="H33" i="34"/>
  <c r="U33" i="34"/>
  <c r="F32" i="37"/>
  <c r="AA32" i="37"/>
  <c r="F20" i="36"/>
  <c r="AA20" i="36"/>
  <c r="J33" i="34"/>
  <c r="H23" i="39"/>
  <c r="U23" i="39"/>
  <c r="D48" i="9"/>
  <c r="M52" i="9"/>
  <c r="K9" i="1"/>
  <c r="M9" i="1"/>
  <c r="D93" i="9"/>
  <c r="K6" i="1"/>
  <c r="AP6" i="1"/>
  <c r="G29" i="6"/>
  <c r="AC26" i="33"/>
  <c r="W26" i="33"/>
  <c r="AB34" i="36"/>
  <c r="U34" i="36"/>
  <c r="AC12" i="39"/>
  <c r="W12" i="39"/>
  <c r="AC39" i="40"/>
  <c r="W39" i="40"/>
  <c r="W12" i="33"/>
  <c r="AC12" i="33"/>
  <c r="AA32" i="36"/>
  <c r="S32" i="36"/>
  <c r="AZ473" i="3"/>
  <c r="BL14" i="3"/>
  <c r="U30" i="33"/>
  <c r="AC13" i="34"/>
  <c r="AA47" i="34"/>
  <c r="W28" i="37"/>
  <c r="S19" i="39"/>
  <c r="F12" i="33"/>
  <c r="H12" i="39"/>
  <c r="AB12" i="39"/>
  <c r="F39" i="40"/>
  <c r="S39" i="40"/>
  <c r="BA14" i="3"/>
  <c r="AZ14" i="3"/>
  <c r="AZ254" i="3"/>
  <c r="B12" i="1"/>
  <c r="E12" i="1"/>
  <c r="B10" i="1"/>
  <c r="E10" i="1"/>
  <c r="K12" i="1"/>
  <c r="M12" i="1"/>
  <c r="S13" i="1"/>
  <c r="AR13" i="1"/>
  <c r="R13" i="1"/>
  <c r="J51" i="67"/>
  <c r="C42" i="1"/>
  <c r="C24" i="12"/>
  <c r="AC34" i="33"/>
  <c r="AA34" i="33"/>
  <c r="AB37" i="40"/>
  <c r="S35" i="40"/>
  <c r="U35" i="40"/>
  <c r="AC36" i="40"/>
  <c r="W38" i="40"/>
  <c r="AA32" i="40"/>
  <c r="S17" i="40"/>
  <c r="S23" i="40"/>
  <c r="AC17" i="40"/>
  <c r="AC15" i="40"/>
  <c r="AA19" i="40"/>
  <c r="S28" i="40"/>
  <c r="AA27" i="40"/>
  <c r="U21" i="40"/>
  <c r="AB19" i="40"/>
  <c r="U37" i="39"/>
  <c r="S43" i="39"/>
  <c r="U35" i="39"/>
  <c r="F32" i="39"/>
  <c r="F106" i="39"/>
  <c r="G106" i="39"/>
  <c r="H106" i="39"/>
  <c r="I106" i="39"/>
  <c r="J106" i="39"/>
  <c r="K106" i="39"/>
  <c r="L106" i="39"/>
  <c r="M106" i="39"/>
  <c r="U25" i="39"/>
  <c r="AB27" i="39"/>
  <c r="J21" i="39"/>
  <c r="W21" i="39"/>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W41" i="34"/>
  <c r="AC42" i="34"/>
  <c r="U39" i="34"/>
  <c r="AA45" i="34"/>
  <c r="AA25" i="34"/>
  <c r="U28" i="34"/>
  <c r="S17"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AA14" i="21"/>
  <c r="D120" i="9"/>
  <c r="F34" i="67"/>
  <c r="F62" i="67"/>
  <c r="M20" i="67"/>
  <c r="F34" i="15"/>
  <c r="F62" i="15"/>
  <c r="G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G23" i="43"/>
  <c r="A4" i="51"/>
  <c r="B6" i="72"/>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AC32" i="33"/>
  <c r="W32" i="33"/>
  <c r="U27" i="33"/>
  <c r="G91" i="33"/>
  <c r="H91" i="33"/>
  <c r="I91" i="33"/>
  <c r="J91" i="33"/>
  <c r="K91" i="33"/>
  <c r="L91" i="33"/>
  <c r="M91" i="33"/>
  <c r="J27" i="33"/>
  <c r="AC27" i="33"/>
  <c r="AB25" i="33"/>
  <c r="S25" i="33"/>
  <c r="AA25" i="33"/>
  <c r="G87" i="33"/>
  <c r="H87" i="33"/>
  <c r="I87" i="33"/>
  <c r="J87" i="33"/>
  <c r="K87" i="33"/>
  <c r="L87" i="33"/>
  <c r="M87" i="33"/>
  <c r="J25" i="33"/>
  <c r="AC25" i="33"/>
  <c r="U23" i="33"/>
  <c r="F23" i="33"/>
  <c r="G85" i="33"/>
  <c r="H19" i="33"/>
  <c r="U19" i="33"/>
  <c r="G81" i="33"/>
  <c r="H17" i="33"/>
  <c r="U17" i="33"/>
  <c r="F17" i="33"/>
  <c r="S17" i="33"/>
  <c r="W17" i="33"/>
  <c r="S37" i="21"/>
  <c r="J23" i="21"/>
  <c r="F85" i="21"/>
  <c r="G85" i="21"/>
  <c r="H23" i="21"/>
  <c r="S13" i="21"/>
  <c r="AP7" i="1"/>
  <c r="AB45" i="21"/>
  <c r="AA32" i="21"/>
  <c r="S32" i="21"/>
  <c r="W9" i="21"/>
  <c r="AC9" i="21"/>
  <c r="AB32" i="21"/>
  <c r="U32" i="21"/>
  <c r="U32" i="39"/>
  <c r="AC32" i="39"/>
  <c r="W23" i="37"/>
  <c r="J63" i="37"/>
  <c r="K63" i="37"/>
  <c r="L63" i="37"/>
  <c r="M63" i="37"/>
  <c r="J11" i="37"/>
  <c r="AC11" i="37"/>
  <c r="H70" i="34"/>
  <c r="I70" i="34"/>
  <c r="J70" i="34"/>
  <c r="K70" i="34"/>
  <c r="L70" i="34"/>
  <c r="M70" i="34"/>
  <c r="J11" i="34"/>
  <c r="W11" i="34"/>
  <c r="W27" i="33"/>
  <c r="W25" i="33"/>
  <c r="AB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F20" i="31"/>
  <c r="F5" i="73"/>
  <c r="E7" i="76"/>
  <c r="E2" i="69"/>
  <c r="M23" i="67"/>
  <c r="F8" i="15"/>
  <c r="F7" i="15"/>
  <c r="B13" i="76"/>
  <c r="B10" i="76"/>
  <c r="E10" i="76"/>
  <c r="L47" i="15"/>
  <c r="M29" i="67"/>
  <c r="F38" i="15"/>
  <c r="F13" i="15"/>
  <c r="F3" i="73"/>
  <c r="E2" i="68"/>
  <c r="E11" i="76"/>
  <c r="E9" i="76"/>
  <c r="AO13" i="1"/>
  <c r="J15" i="67"/>
  <c r="E13" i="76"/>
  <c r="M26" i="15"/>
  <c r="B9" i="76"/>
  <c r="J15" i="15"/>
  <c r="F7" i="73"/>
  <c r="M24" i="15"/>
  <c r="E8" i="76"/>
  <c r="B7" i="76"/>
  <c r="B8" i="76"/>
  <c r="F43" i="15"/>
  <c r="C76" i="67"/>
  <c r="F36" i="15"/>
  <c r="E12" i="76"/>
  <c r="B12" i="76"/>
  <c r="B11" i="76"/>
  <c r="F6" i="73"/>
  <c r="M26" i="67"/>
  <c r="M6" i="15"/>
  <c r="A118" i="9"/>
  <c r="A2" i="9"/>
  <c r="A4" i="52"/>
  <c r="B41" i="72"/>
  <c r="S44" i="34"/>
  <c r="U43" i="34"/>
  <c r="AC36" i="34"/>
  <c r="U38" i="34"/>
  <c r="AC44" i="34"/>
  <c r="AC43" i="34"/>
  <c r="S37" i="34"/>
  <c r="S35" i="34"/>
  <c r="AB35" i="34"/>
  <c r="U34" i="34"/>
  <c r="AB33" i="34"/>
  <c r="AA33" i="34"/>
  <c r="J19" i="34"/>
  <c r="AB15" i="34"/>
  <c r="U15" i="34"/>
  <c r="J15" i="34"/>
  <c r="E78" i="34"/>
  <c r="F78" i="34"/>
  <c r="G78" i="34"/>
  <c r="U27" i="34"/>
  <c r="W23" i="34"/>
  <c r="S23" i="34"/>
  <c r="U21" i="34"/>
  <c r="S19" i="34"/>
  <c r="U19" i="34"/>
  <c r="AC17" i="34"/>
  <c r="AB17" i="34"/>
  <c r="AC39" i="34"/>
  <c r="AB41" i="34"/>
  <c r="S43" i="34"/>
  <c r="AB8" i="34"/>
  <c r="C40" i="68"/>
  <c r="C21" i="68"/>
  <c r="C7" i="40"/>
  <c r="C63" i="40"/>
  <c r="C7" i="39"/>
  <c r="C67" i="39"/>
  <c r="J1" i="73"/>
  <c r="C7" i="21"/>
  <c r="C58" i="21"/>
  <c r="D58" i="21"/>
  <c r="C7" i="36"/>
  <c r="C46" i="36"/>
  <c r="D46" i="36"/>
  <c r="E46" i="36"/>
  <c r="F46" i="36"/>
  <c r="G46" i="36"/>
  <c r="H46" i="36"/>
  <c r="I46" i="36"/>
  <c r="M47" i="9"/>
  <c r="C7" i="35"/>
  <c r="C48" i="35"/>
  <c r="D48" i="35"/>
  <c r="AB9" i="21"/>
  <c r="U36" i="33"/>
  <c r="AB36" i="33"/>
  <c r="D121" i="9"/>
  <c r="D7" i="52"/>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c r="AZ407" i="3"/>
  <c r="AZ384" i="3"/>
  <c r="W27" i="40"/>
  <c r="U32" i="37"/>
  <c r="AZ345" i="3"/>
  <c r="AZ303" i="3"/>
  <c r="AZ372" i="3"/>
  <c r="AZ347" i="3"/>
  <c r="AZ337" i="3"/>
  <c r="AZ376" i="3"/>
  <c r="AZ309" i="3"/>
  <c r="AA11" i="39"/>
  <c r="AZ571" i="3"/>
  <c r="AZ579" i="3"/>
  <c r="F9" i="34"/>
  <c r="AA9" i="34"/>
  <c r="J9" i="34"/>
  <c r="H9" i="34"/>
  <c r="AZ539" i="3"/>
  <c r="AZ529" i="3"/>
  <c r="AZ537" i="3"/>
  <c r="AZ518" i="3"/>
  <c r="AZ526" i="3"/>
  <c r="AZ546" i="3"/>
  <c r="AZ564" i="3"/>
  <c r="AZ580" i="3"/>
  <c r="AZ585" i="3"/>
  <c r="AB45" i="33"/>
  <c r="S11" i="36"/>
  <c r="AB23" i="34"/>
  <c r="J33" i="36"/>
  <c r="AC33" i="36"/>
  <c r="B72" i="43"/>
  <c r="C15" i="39"/>
  <c r="J12" i="34"/>
  <c r="H12" i="34"/>
  <c r="F12" i="34"/>
  <c r="S12" i="34"/>
  <c r="J25" i="37"/>
  <c r="S9" i="40"/>
  <c r="AA9" i="40"/>
  <c r="AC31" i="40"/>
  <c r="W31" i="40"/>
  <c r="AZ469" i="3"/>
  <c r="AC27" i="35"/>
  <c r="G587" i="3"/>
  <c r="F9" i="33"/>
  <c r="AA9" i="33"/>
  <c r="J12" i="35"/>
  <c r="BA551" i="3"/>
  <c r="AZ551" i="3"/>
  <c r="BA550" i="3"/>
  <c r="AZ550" i="3"/>
  <c r="BL548" i="3"/>
  <c r="AZ548"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AZ491" i="3"/>
  <c r="BL398" i="3"/>
  <c r="G402" i="3"/>
  <c r="BL403" i="3"/>
  <c r="G405" i="3"/>
  <c r="G406" i="3"/>
  <c r="BA408" i="3"/>
  <c r="AZ408" i="3"/>
  <c r="BA409" i="3"/>
  <c r="AZ409" i="3"/>
  <c r="BA411" i="3"/>
  <c r="AZ411" i="3"/>
  <c r="BL414" i="3"/>
  <c r="BL415" i="3"/>
  <c r="BA417" i="3"/>
  <c r="AZ417" i="3"/>
  <c r="BL421" i="3"/>
  <c r="BL422" i="3"/>
  <c r="BL425" i="3"/>
  <c r="BL426" i="3"/>
  <c r="BA428" i="3"/>
  <c r="BA429" i="3"/>
  <c r="AZ429" i="3"/>
  <c r="BA430" i="3"/>
  <c r="AZ430" i="3"/>
  <c r="BA432" i="3"/>
  <c r="AZ432" i="3"/>
  <c r="BA434" i="3"/>
  <c r="BA436" i="3"/>
  <c r="BA438" i="3"/>
  <c r="G442" i="3"/>
  <c r="G443" i="3"/>
  <c r="BA446" i="3"/>
  <c r="BA450" i="3"/>
  <c r="BA453" i="3"/>
  <c r="BA455" i="3"/>
  <c r="AZ455" i="3"/>
  <c r="BL457" i="3"/>
  <c r="BL460" i="3"/>
  <c r="BL461" i="3"/>
  <c r="BL463" i="3"/>
  <c r="G465" i="3"/>
  <c r="BA471" i="3"/>
  <c r="G486" i="3"/>
  <c r="G488" i="3"/>
  <c r="BL317" i="3"/>
  <c r="G318" i="3"/>
  <c r="B79" i="43"/>
  <c r="H23" i="35"/>
  <c r="G551" i="3"/>
  <c r="BL550" i="3"/>
  <c r="G542" i="3"/>
  <c r="BL15" i="3"/>
  <c r="AZ15" i="3"/>
  <c r="BA398" i="3"/>
  <c r="BA399" i="3"/>
  <c r="AZ399" i="3"/>
  <c r="BL401" i="3"/>
  <c r="BL404" i="3"/>
  <c r="BL405" i="3"/>
  <c r="BL407" i="3"/>
  <c r="BA412" i="3"/>
  <c r="AZ412" i="3"/>
  <c r="BA414" i="3"/>
  <c r="AZ414" i="3"/>
  <c r="BA415" i="3"/>
  <c r="AZ415" i="3"/>
  <c r="BA416" i="3"/>
  <c r="AZ416" i="3"/>
  <c r="BA418" i="3"/>
  <c r="AZ418" i="3"/>
  <c r="BA421" i="3"/>
  <c r="AZ421" i="3"/>
  <c r="BA423" i="3"/>
  <c r="AZ423" i="3"/>
  <c r="BA425" i="3"/>
  <c r="BA426" i="3"/>
  <c r="BA427" i="3"/>
  <c r="AZ427" i="3"/>
  <c r="BA433" i="3"/>
  <c r="AZ433" i="3"/>
  <c r="BA435" i="3"/>
  <c r="BL437" i="3"/>
  <c r="AZ437" i="3"/>
  <c r="G439" i="3"/>
  <c r="BL441" i="3"/>
  <c r="AZ441" i="3"/>
  <c r="BL442" i="3"/>
  <c r="BL444" i="3"/>
  <c r="AZ444" i="3"/>
  <c r="G446" i="3"/>
  <c r="BL448" i="3"/>
  <c r="AZ448" i="3"/>
  <c r="G450" i="3"/>
  <c r="BA454" i="3"/>
  <c r="AZ454" i="3"/>
  <c r="BA457" i="3"/>
  <c r="AZ457" i="3"/>
  <c r="BA459" i="3"/>
  <c r="AZ459" i="3"/>
  <c r="BA460" i="3"/>
  <c r="BA461" i="3"/>
  <c r="AZ461" i="3"/>
  <c r="BL464" i="3"/>
  <c r="AZ464" i="3"/>
  <c r="BL466" i="3"/>
  <c r="G468" i="3"/>
  <c r="BL476" i="3"/>
  <c r="AZ476" i="3"/>
  <c r="BL483" i="3"/>
  <c r="AZ483" i="3"/>
  <c r="BA486" i="3"/>
  <c r="BL489" i="3"/>
  <c r="BA315" i="3"/>
  <c r="AZ315" i="3"/>
  <c r="AZ125" i="3"/>
  <c r="G585" i="3"/>
  <c r="BL587" i="3"/>
  <c r="AZ587" i="3"/>
  <c r="BL586" i="3"/>
  <c r="AZ586" i="3"/>
  <c r="BL16" i="3"/>
  <c r="AZ16" i="3"/>
  <c r="BA401" i="3"/>
  <c r="BA403" i="3"/>
  <c r="AZ403" i="3"/>
  <c r="BA404" i="3"/>
  <c r="BA405" i="3"/>
  <c r="AZ405" i="3"/>
  <c r="BL410" i="3"/>
  <c r="G412" i="3"/>
  <c r="AZ419" i="3"/>
  <c r="AZ422" i="3"/>
  <c r="AZ466" i="3"/>
  <c r="BA482" i="3"/>
  <c r="BA484" i="3"/>
  <c r="AZ484" i="3"/>
  <c r="G491" i="3"/>
  <c r="BA303" i="3"/>
  <c r="BA307" i="3"/>
  <c r="AZ307" i="3"/>
  <c r="G311" i="3"/>
  <c r="BL314" i="3"/>
  <c r="AZ314" i="3"/>
  <c r="G315" i="3"/>
  <c r="BA331" i="3"/>
  <c r="AZ331" i="3"/>
  <c r="BA335" i="3"/>
  <c r="AZ335" i="3"/>
  <c r="BA339" i="3"/>
  <c r="AZ339"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BL248" i="3"/>
  <c r="AZ248" i="3"/>
  <c r="G250" i="3"/>
  <c r="BL250" i="3"/>
  <c r="AZ250" i="3"/>
  <c r="G252" i="3"/>
  <c r="G254" i="3"/>
  <c r="BA259" i="3"/>
  <c r="AZ259" i="3"/>
  <c r="BL261" i="3"/>
  <c r="BA263" i="3"/>
  <c r="BA267" i="3"/>
  <c r="AZ267" i="3"/>
  <c r="BA269" i="3"/>
  <c r="AZ269" i="3"/>
  <c r="BA274" i="3"/>
  <c r="AZ274" i="3"/>
  <c r="BL274" i="3"/>
  <c r="BA276" i="3"/>
  <c r="BA279" i="3"/>
  <c r="BA281" i="3"/>
  <c r="G286" i="3"/>
  <c r="BL286" i="3"/>
  <c r="AZ286" i="3"/>
  <c r="BA296" i="3"/>
  <c r="BA116" i="3"/>
  <c r="AZ116" i="3"/>
  <c r="BA121" i="3"/>
  <c r="BL121" i="3"/>
  <c r="BA124" i="3"/>
  <c r="AZ124" i="3"/>
  <c r="BA126" i="3"/>
  <c r="BA129" i="3"/>
  <c r="BL133" i="3"/>
  <c r="AZ133" i="3"/>
  <c r="BL139" i="3"/>
  <c r="AZ139" i="3"/>
  <c r="G140" i="3"/>
  <c r="BL141" i="3"/>
  <c r="BL143" i="3"/>
  <c r="AZ143" i="3"/>
  <c r="G146" i="3"/>
  <c r="G147" i="3"/>
  <c r="BL161" i="3"/>
  <c r="G162" i="3"/>
  <c r="BL162" i="3"/>
  <c r="AZ162" i="3"/>
  <c r="BA177" i="3"/>
  <c r="AZ177" i="3"/>
  <c r="G190" i="3"/>
  <c r="BA333" i="3"/>
  <c r="BL346" i="3"/>
  <c r="AZ346" i="3"/>
  <c r="BA384" i="3"/>
  <c r="BA395" i="3"/>
  <c r="AZ395" i="3"/>
  <c r="BA208" i="3"/>
  <c r="AZ208" i="3"/>
  <c r="BA211" i="3"/>
  <c r="AZ211" i="3"/>
  <c r="BL213" i="3"/>
  <c r="BL215" i="3"/>
  <c r="BA222" i="3"/>
  <c r="AZ222" i="3"/>
  <c r="BA224" i="3"/>
  <c r="AZ224" i="3"/>
  <c r="BA226" i="3"/>
  <c r="BL255" i="3"/>
  <c r="BL257" i="3"/>
  <c r="AZ257" i="3"/>
  <c r="BL258" i="3"/>
  <c r="BA262" i="3"/>
  <c r="AZ262" i="3"/>
  <c r="BL265" i="3"/>
  <c r="AZ265" i="3"/>
  <c r="BA273" i="3"/>
  <c r="G288" i="3"/>
  <c r="BA332" i="3"/>
  <c r="BL332" i="3"/>
  <c r="G339" i="3"/>
  <c r="G364" i="3"/>
  <c r="BA367" i="3"/>
  <c r="AZ367" i="3"/>
  <c r="BA370" i="3"/>
  <c r="AZ370" i="3"/>
  <c r="BA386" i="3"/>
  <c r="AZ386" i="3"/>
  <c r="G397" i="3"/>
  <c r="G210" i="3"/>
  <c r="BA216" i="3"/>
  <c r="AZ216" i="3"/>
  <c r="BA218" i="3"/>
  <c r="AZ218" i="3"/>
  <c r="BL218" i="3"/>
  <c r="BL220" i="3"/>
  <c r="BL221" i="3"/>
  <c r="G222" i="3"/>
  <c r="BL223" i="3"/>
  <c r="G224" i="3"/>
  <c r="BA227" i="3"/>
  <c r="AZ227" i="3"/>
  <c r="BA229" i="3"/>
  <c r="AZ229" i="3"/>
  <c r="BL229" i="3"/>
  <c r="BL231" i="3"/>
  <c r="G233" i="3"/>
  <c r="BL233" i="3"/>
  <c r="AZ233" i="3"/>
  <c r="G235" i="3"/>
  <c r="BL235" i="3"/>
  <c r="AZ235" i="3"/>
  <c r="BL236" i="3"/>
  <c r="G237" i="3"/>
  <c r="BL238" i="3"/>
  <c r="G239" i="3"/>
  <c r="BL243" i="3"/>
  <c r="G244" i="3"/>
  <c r="BA247" i="3"/>
  <c r="BL247" i="3"/>
  <c r="BA249" i="3"/>
  <c r="AZ249" i="3"/>
  <c r="BL249" i="3"/>
  <c r="BA251" i="3"/>
  <c r="BL251" i="3"/>
  <c r="BA253" i="3"/>
  <c r="BL260"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BL126" i="3"/>
  <c r="G130" i="3"/>
  <c r="BA156" i="3"/>
  <c r="AZ156" i="3"/>
  <c r="BL157" i="3"/>
  <c r="AZ157" i="3"/>
  <c r="BL159" i="3"/>
  <c r="AZ159" i="3"/>
  <c r="BA239" i="3"/>
  <c r="AZ239" i="3"/>
  <c r="BL239" i="3"/>
  <c r="BA241" i="3"/>
  <c r="BL241" i="3"/>
  <c r="BA244" i="3"/>
  <c r="AZ244" i="3"/>
  <c r="BL244" i="3"/>
  <c r="BA246" i="3"/>
  <c r="BL273" i="3"/>
  <c r="G274" i="3"/>
  <c r="BA277" i="3"/>
  <c r="AZ277" i="3"/>
  <c r="BL277" i="3"/>
  <c r="BA282" i="3"/>
  <c r="BL282" i="3"/>
  <c r="BA284" i="3"/>
  <c r="AZ284" i="3"/>
  <c r="BL290" i="3"/>
  <c r="BL291" i="3"/>
  <c r="AZ291" i="3"/>
  <c r="BL293" i="3"/>
  <c r="BL294" i="3"/>
  <c r="AZ294" i="3"/>
  <c r="BA297" i="3"/>
  <c r="BL297" i="3"/>
  <c r="BL300" i="3"/>
  <c r="BA302" i="3"/>
  <c r="AZ302" i="3"/>
  <c r="G115" i="3"/>
  <c r="BA117" i="3"/>
  <c r="BA130" i="3"/>
  <c r="AZ130" i="3"/>
  <c r="BL130" i="3"/>
  <c r="BA137" i="3"/>
  <c r="AZ137" i="3"/>
  <c r="BL138" i="3"/>
  <c r="BA140" i="3"/>
  <c r="AZ140" i="3"/>
  <c r="BA142" i="3"/>
  <c r="BL149" i="3"/>
  <c r="AZ149" i="3"/>
  <c r="G172" i="3"/>
  <c r="BL181" i="3"/>
  <c r="BL186" i="3"/>
  <c r="AZ186" i="3"/>
  <c r="AZ52" i="3"/>
  <c r="AZ65" i="3"/>
  <c r="BA103" i="3"/>
  <c r="AZ103" i="3"/>
  <c r="BA104" i="3"/>
  <c r="BA106" i="3"/>
  <c r="BL108" i="3"/>
  <c r="U21" i="33"/>
  <c r="AB21" i="33"/>
  <c r="D44" i="71"/>
  <c r="T44" i="71"/>
  <c r="D34" i="71"/>
  <c r="C35" i="71"/>
  <c r="C55" i="71"/>
  <c r="D54" i="71"/>
  <c r="D67" i="71"/>
  <c r="C66" i="71"/>
  <c r="O67" i="71"/>
  <c r="BA150" i="3"/>
  <c r="AZ150" i="3"/>
  <c r="BL167" i="3"/>
  <c r="AZ167" i="3"/>
  <c r="G175" i="3"/>
  <c r="G176" i="3"/>
  <c r="BL178" i="3"/>
  <c r="BA180" i="3"/>
  <c r="AZ180" i="3"/>
  <c r="BL182" i="3"/>
  <c r="G183" i="3"/>
  <c r="BA185" i="3"/>
  <c r="BL191" i="3"/>
  <c r="AZ191" i="3"/>
  <c r="G192"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BL54" i="3"/>
  <c r="BL55" i="3"/>
  <c r="AZ55" i="3"/>
  <c r="G57" i="3"/>
  <c r="G58" i="3"/>
  <c r="BA59" i="3"/>
  <c r="G61" i="3"/>
  <c r="BL61" i="3"/>
  <c r="G64" i="3"/>
  <c r="BA64" i="3"/>
  <c r="BA68" i="3"/>
  <c r="BL74" i="3"/>
  <c r="G75" i="3"/>
  <c r="BL75" i="3"/>
  <c r="AZ75" i="3"/>
  <c r="BA80" i="3"/>
  <c r="BL84" i="3"/>
  <c r="G89" i="3"/>
  <c r="BA90" i="3"/>
  <c r="BA109" i="3"/>
  <c r="BA111" i="3"/>
  <c r="F3" i="35"/>
  <c r="W21" i="21"/>
  <c r="C64" i="71"/>
  <c r="D63" i="71"/>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AZ190" i="3"/>
  <c r="G191" i="3"/>
  <c r="BA192" i="3"/>
  <c r="AZ192" i="3"/>
  <c r="BL197" i="3"/>
  <c r="AZ197" i="3"/>
  <c r="G198" i="3"/>
  <c r="BL199" i="3"/>
  <c r="AZ199" i="3"/>
  <c r="BA200" i="3"/>
  <c r="AZ200" i="3"/>
  <c r="BA202" i="3"/>
  <c r="BL207" i="3"/>
  <c r="AZ207" i="3"/>
  <c r="BL18" i="3"/>
  <c r="G19" i="3"/>
  <c r="BL19" i="3"/>
  <c r="BA20" i="3"/>
  <c r="AZ20" i="3"/>
  <c r="BL25" i="3"/>
  <c r="BL27" i="3"/>
  <c r="BA28" i="3"/>
  <c r="BA31" i="3"/>
  <c r="AZ31" i="3"/>
  <c r="BA32" i="3"/>
  <c r="BA38" i="3"/>
  <c r="BA41" i="3"/>
  <c r="BA42" i="3"/>
  <c r="BL48" i="3"/>
  <c r="BA51" i="3"/>
  <c r="BL56" i="3"/>
  <c r="BA58" i="3"/>
  <c r="AZ58" i="3"/>
  <c r="BL59" i="3"/>
  <c r="BL60" i="3"/>
  <c r="BA61" i="3"/>
  <c r="AZ61" i="3"/>
  <c r="BL69" i="3"/>
  <c r="AZ69" i="3"/>
  <c r="BL70" i="3"/>
  <c r="AZ70" i="3"/>
  <c r="BL71" i="3"/>
  <c r="BL72" i="3"/>
  <c r="AZ72" i="3"/>
  <c r="BL86" i="3"/>
  <c r="AZ86" i="3"/>
  <c r="BA98" i="3"/>
  <c r="BA100" i="3"/>
  <c r="AZ100" i="3"/>
  <c r="D31" i="71"/>
  <c r="C32" i="71"/>
  <c r="D50" i="71"/>
  <c r="C51" i="71"/>
  <c r="BL165" i="3"/>
  <c r="G166" i="3"/>
  <c r="BL170" i="3"/>
  <c r="G171" i="3"/>
  <c r="BA173" i="3"/>
  <c r="AZ173" i="3"/>
  <c r="BA174" i="3"/>
  <c r="BL179" i="3"/>
  <c r="AZ179" i="3"/>
  <c r="G180" i="3"/>
  <c r="BA181" i="3"/>
  <c r="BA182" i="3"/>
  <c r="AZ182" i="3"/>
  <c r="BL185" i="3"/>
  <c r="G186" i="3"/>
  <c r="G187" i="3"/>
  <c r="BL193" i="3"/>
  <c r="G194" i="3"/>
  <c r="BL194" i="3"/>
  <c r="AZ194" i="3"/>
  <c r="BA198" i="3"/>
  <c r="AZ198" i="3"/>
  <c r="G204" i="3"/>
  <c r="BL206" i="3"/>
  <c r="BA19" i="3"/>
  <c r="AZ19" i="3"/>
  <c r="G22" i="3"/>
  <c r="G24" i="3"/>
  <c r="G25" i="3"/>
  <c r="BA27" i="3"/>
  <c r="G30" i="3"/>
  <c r="BL30" i="3"/>
  <c r="BL31" i="3"/>
  <c r="G35" i="3"/>
  <c r="G36" i="3"/>
  <c r="G37" i="3"/>
  <c r="G40" i="3"/>
  <c r="BL40" i="3"/>
  <c r="BL41" i="3"/>
  <c r="G45" i="3"/>
  <c r="BL45" i="3"/>
  <c r="AZ45" i="3"/>
  <c r="BA48" i="3"/>
  <c r="BA49" i="3"/>
  <c r="AZ49" i="3"/>
  <c r="BL64" i="3"/>
  <c r="G65" i="3"/>
  <c r="BL65" i="3"/>
  <c r="BL66" i="3"/>
  <c r="BL67" i="3"/>
  <c r="AZ67" i="3"/>
  <c r="G69" i="3"/>
  <c r="G72" i="3"/>
  <c r="BL73" i="3"/>
  <c r="BA74" i="3"/>
  <c r="AZ74" i="3"/>
  <c r="BL79" i="3"/>
  <c r="BL81" i="3"/>
  <c r="BA82" i="3"/>
  <c r="AZ82" i="3"/>
  <c r="BL83" i="3"/>
  <c r="G86" i="3"/>
  <c r="BA87" i="3"/>
  <c r="BA89" i="3"/>
  <c r="BL93" i="3"/>
  <c r="BL94" i="3"/>
  <c r="AZ94" i="3"/>
  <c r="BL101" i="3"/>
  <c r="BL102" i="3"/>
  <c r="AZ102" i="3"/>
  <c r="G104" i="3"/>
  <c r="G105" i="3"/>
  <c r="BL106" i="3"/>
  <c r="BA108" i="3"/>
  <c r="F40" i="69"/>
  <c r="C40" i="69"/>
  <c r="AB21" i="37"/>
  <c r="U21" i="37"/>
  <c r="T28" i="71"/>
  <c r="D28" i="71"/>
  <c r="U28" i="71"/>
  <c r="C27" i="71"/>
  <c r="F66" i="71"/>
  <c r="Q67" i="71"/>
  <c r="BL111" i="3"/>
  <c r="P66" i="71"/>
  <c r="AA27" i="71"/>
  <c r="AB26" i="71"/>
  <c r="C75" i="71"/>
  <c r="C71" i="71"/>
  <c r="O68" i="71"/>
  <c r="D46" i="71"/>
  <c r="C39" i="71"/>
  <c r="Y28" i="71"/>
  <c r="Z28" i="71"/>
  <c r="X35" i="71"/>
  <c r="AA37" i="71"/>
  <c r="Y30" i="71"/>
  <c r="Z30" i="71"/>
  <c r="X28" i="71"/>
  <c r="X32" i="71"/>
  <c r="F38" i="71"/>
  <c r="F39" i="71"/>
  <c r="F40" i="71"/>
  <c r="V40" i="71"/>
  <c r="AB38" i="71"/>
  <c r="F75" i="71"/>
  <c r="F74" i="71"/>
  <c r="B79" i="71"/>
  <c r="B78" i="71"/>
  <c r="BL51" i="3"/>
  <c r="G53" i="3"/>
  <c r="BL53" i="3"/>
  <c r="AZ53" i="3"/>
  <c r="BA56" i="3"/>
  <c r="BA57" i="3"/>
  <c r="AZ57" i="3"/>
  <c r="BL58" i="3"/>
  <c r="G60" i="3"/>
  <c r="BA60" i="3"/>
  <c r="BA63" i="3"/>
  <c r="AZ63" i="3"/>
  <c r="BA66" i="3"/>
  <c r="AZ66" i="3"/>
  <c r="BA71" i="3"/>
  <c r="AZ71" i="3"/>
  <c r="G76" i="3"/>
  <c r="BL77" i="3"/>
  <c r="AZ77" i="3"/>
  <c r="BA79" i="3"/>
  <c r="AZ79" i="3"/>
  <c r="G82" i="3"/>
  <c r="G83" i="3"/>
  <c r="BA84" i="3"/>
  <c r="AZ84" i="3"/>
  <c r="BL88" i="3"/>
  <c r="AZ88" i="3"/>
  <c r="G90" i="3"/>
  <c r="BL90" i="3"/>
  <c r="BL92" i="3"/>
  <c r="G101" i="3"/>
  <c r="BA101" i="3"/>
  <c r="AZ101" i="3"/>
  <c r="G108" i="3"/>
  <c r="G109" i="3"/>
  <c r="BL112" i="3"/>
  <c r="U25" i="40"/>
  <c r="S21" i="34"/>
  <c r="B68" i="43"/>
  <c r="B88" i="43"/>
  <c r="D76" i="71"/>
  <c r="T68" i="71"/>
  <c r="X34" i="71"/>
  <c r="X31" i="71"/>
  <c r="F35" i="71"/>
  <c r="F36" i="71"/>
  <c r="V36" i="71"/>
  <c r="AA34" i="71"/>
  <c r="AB35" i="71"/>
  <c r="E22" i="71"/>
  <c r="E21" i="71"/>
  <c r="E20" i="71"/>
  <c r="V20" i="7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G3" i="43"/>
  <c r="F26" i="43"/>
  <c r="E29" i="6"/>
  <c r="K15" i="1"/>
  <c r="F30" i="6"/>
  <c r="G30" i="6"/>
  <c r="G31" i="6"/>
  <c r="L19" i="6"/>
  <c r="L27" i="6"/>
  <c r="M6" i="1"/>
  <c r="O6" i="1"/>
  <c r="T13" i="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C17" i="43"/>
  <c r="J26" i="43"/>
  <c r="G26" i="43"/>
  <c r="A1" i="79"/>
  <c r="H55" i="43"/>
  <c r="H86" i="43"/>
  <c r="H87" i="43"/>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M7" i="15"/>
  <c r="F50" i="15"/>
  <c r="F51" i="15"/>
  <c r="F71" i="15"/>
  <c r="L59" i="15"/>
  <c r="N59" i="15"/>
  <c r="M59" i="15"/>
  <c r="F66" i="15"/>
  <c r="Q71" i="67"/>
  <c r="F64" i="15"/>
  <c r="B13" i="70"/>
  <c r="F50" i="67"/>
  <c r="F68" i="67"/>
  <c r="F64" i="67"/>
  <c r="C36" i="68"/>
  <c r="D9" i="68"/>
  <c r="D6" i="73"/>
  <c r="F37" i="15"/>
  <c r="C76" i="15"/>
  <c r="M22" i="67"/>
  <c r="D4" i="73"/>
  <c r="F40" i="15"/>
  <c r="L47" i="67"/>
  <c r="L48" i="15"/>
  <c r="M9" i="15"/>
  <c r="M29" i="15"/>
  <c r="M8" i="15"/>
  <c r="D3" i="73"/>
  <c r="M28" i="67"/>
  <c r="F6" i="15"/>
  <c r="M23" i="15"/>
  <c r="F42" i="15"/>
  <c r="F9" i="15"/>
  <c r="M24" i="67"/>
  <c r="F16" i="15"/>
  <c r="F26" i="15"/>
  <c r="M28" i="15"/>
  <c r="M22" i="15"/>
  <c r="AC19" i="34"/>
  <c r="W19" i="34"/>
  <c r="W15" i="34"/>
  <c r="AC15" i="34"/>
  <c r="F48" i="9"/>
  <c r="O52" i="9"/>
  <c r="F30" i="11"/>
  <c r="M18" i="67"/>
  <c r="M18" i="15"/>
  <c r="F60" i="67"/>
  <c r="F28" i="15"/>
  <c r="C28" i="15"/>
  <c r="D68" i="9"/>
  <c r="F31" i="12"/>
  <c r="C31" i="12"/>
  <c r="F30" i="69"/>
  <c r="F54" i="9"/>
  <c r="F30" i="68"/>
  <c r="F52" i="9"/>
  <c r="F32" i="15"/>
  <c r="F60" i="15"/>
  <c r="E26" i="43"/>
  <c r="H26" i="43"/>
  <c r="N370" i="46"/>
  <c r="E28" i="6"/>
  <c r="K14" i="1"/>
  <c r="K16" i="1"/>
  <c r="F68" i="15"/>
  <c r="F66" i="67"/>
  <c r="F31" i="67"/>
  <c r="F51" i="67"/>
  <c r="C49" i="67"/>
  <c r="Q50" i="67"/>
  <c r="L56" i="67"/>
  <c r="I54" i="67"/>
  <c r="Q52" i="67"/>
  <c r="Q71" i="15"/>
  <c r="C27" i="15"/>
  <c r="F71" i="67"/>
  <c r="F65" i="67"/>
  <c r="F31" i="15"/>
  <c r="C6" i="15"/>
  <c r="C32" i="15"/>
  <c r="J53" i="15"/>
  <c r="L56" i="15"/>
  <c r="J57" i="15"/>
  <c r="J55" i="15"/>
  <c r="J58" i="15"/>
  <c r="Q50" i="15"/>
  <c r="I54" i="15"/>
  <c r="L58" i="15"/>
  <c r="Q73" i="15"/>
  <c r="F65" i="15"/>
  <c r="L59" i="67"/>
  <c r="Q61" i="67"/>
  <c r="L58" i="67"/>
  <c r="Q73" i="67"/>
  <c r="M59" i="67"/>
  <c r="N59" i="67"/>
  <c r="J6" i="15"/>
  <c r="J18" i="15"/>
  <c r="C70" i="71"/>
  <c r="D70" i="71"/>
  <c r="D71" i="71"/>
  <c r="C26" i="71"/>
  <c r="D26" i="7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G5" i="3"/>
  <c r="B3" i="3"/>
  <c r="E286" i="3"/>
  <c r="C40" i="71"/>
  <c r="D39" i="71"/>
  <c r="D75" i="71"/>
  <c r="C74" i="71"/>
  <c r="D74" i="7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J18" i="67"/>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c r="AA10" i="39"/>
  <c r="J7" i="37"/>
  <c r="W7" i="37"/>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Y6" i="3"/>
  <c r="E240" i="3"/>
  <c r="E487" i="3"/>
  <c r="E219" i="3"/>
  <c r="W40" i="40"/>
  <c r="AC40" i="40"/>
  <c r="AC12" i="21"/>
  <c r="W12" i="21"/>
  <c r="AB12" i="21"/>
  <c r="U12" i="21"/>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E67" i="39"/>
  <c r="E69" i="39"/>
  <c r="J7" i="34"/>
  <c r="W7" i="34"/>
  <c r="F7" i="34"/>
  <c r="S7" i="34"/>
  <c r="AA26" i="35"/>
  <c r="S26" i="35"/>
  <c r="AC26" i="35"/>
  <c r="W26" i="35"/>
  <c r="AB26" i="35"/>
  <c r="U26" i="35"/>
  <c r="E61" i="39"/>
  <c r="E56" i="40"/>
  <c r="C9" i="68"/>
  <c r="E72" i="43"/>
  <c r="B70" i="43"/>
  <c r="F45" i="69"/>
  <c r="F27" i="11"/>
  <c r="C29" i="11"/>
  <c r="D27" i="11"/>
  <c r="F28" i="12"/>
  <c r="C29" i="12"/>
  <c r="D28" i="12"/>
  <c r="E60" i="40"/>
  <c r="F31" i="6"/>
  <c r="E51" i="40"/>
  <c r="E16" i="6"/>
  <c r="H6" i="3"/>
  <c r="E58" i="40"/>
  <c r="E62" i="39"/>
  <c r="M14" i="1"/>
  <c r="D5" i="43"/>
  <c r="D26" i="43"/>
  <c r="C25" i="43"/>
  <c r="C7" i="43"/>
  <c r="C5" i="43"/>
  <c r="D10" i="52"/>
  <c r="D125" i="9"/>
  <c r="D11" i="52"/>
  <c r="B7" i="74"/>
  <c r="C7" i="74"/>
  <c r="F67" i="39"/>
  <c r="F59" i="67"/>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C49" i="15"/>
  <c r="F11" i="15"/>
  <c r="M11" i="15"/>
  <c r="J10" i="15"/>
  <c r="Q74" i="15"/>
  <c r="Q61" i="15"/>
  <c r="AE11" i="1"/>
  <c r="AE9" i="1"/>
  <c r="F27" i="68"/>
  <c r="AE7" i="1"/>
  <c r="AE8" i="1"/>
  <c r="AE12" i="1"/>
  <c r="AE10" i="1"/>
  <c r="C16" i="15"/>
  <c r="G49" i="34"/>
  <c r="Q74" i="67"/>
  <c r="F48" i="68"/>
  <c r="C48" i="68"/>
  <c r="C30" i="68"/>
  <c r="F48" i="69"/>
  <c r="C48" i="69"/>
  <c r="C30" i="69"/>
  <c r="C48" i="11"/>
  <c r="C30" i="11"/>
  <c r="J5" i="15"/>
  <c r="J24" i="15"/>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c r="Q60" i="15"/>
  <c r="Q60" i="67"/>
  <c r="H10" i="39"/>
  <c r="U10" i="39"/>
  <c r="S10" i="39"/>
  <c r="H10" i="40"/>
  <c r="AB10" i="40"/>
  <c r="J10" i="39"/>
  <c r="W10" i="39"/>
  <c r="F10" i="40"/>
  <c r="S10" i="40"/>
  <c r="Q52" i="15"/>
  <c r="F1" i="15"/>
  <c r="J24" i="67"/>
  <c r="R36" i="3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L36" i="43"/>
  <c r="L37" i="43"/>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A10" i="40"/>
  <c r="U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C53" i="67"/>
  <c r="C48" i="67"/>
  <c r="C53" i="15"/>
  <c r="C48" i="15"/>
  <c r="C66" i="15"/>
  <c r="C10" i="15"/>
  <c r="C5" i="15"/>
  <c r="C38" i="15"/>
  <c r="F41" i="15"/>
  <c r="M27" i="15"/>
  <c r="M27" i="67"/>
  <c r="U18" i="1"/>
  <c r="G54" i="34"/>
  <c r="H54" i="34"/>
  <c r="AB10" i="39"/>
  <c r="W10" i="40"/>
  <c r="D116" i="43"/>
  <c r="F25" i="12"/>
  <c r="C26" i="12"/>
  <c r="D25" i="12"/>
  <c r="F22" i="68"/>
  <c r="C23" i="68"/>
  <c r="F22" i="11"/>
  <c r="C23" i="11"/>
  <c r="F24" i="15"/>
  <c r="C24" i="15"/>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3" i="40"/>
  <c r="F65" i="40"/>
  <c r="C37" i="36"/>
  <c r="C36" i="36"/>
  <c r="G58" i="21"/>
  <c r="C60" i="15"/>
  <c r="C66" i="67"/>
  <c r="C60" i="67"/>
  <c r="D10" i="68"/>
  <c r="C17" i="15"/>
  <c r="F69" i="67"/>
  <c r="E54" i="34"/>
  <c r="F54" i="34"/>
  <c r="I54" i="34"/>
  <c r="J54" i="34"/>
  <c r="C44" i="11"/>
  <c r="D41" i="11"/>
  <c r="C44" i="68"/>
  <c r="D41" i="68"/>
  <c r="C26" i="68"/>
  <c r="D22" i="68"/>
  <c r="F41" i="68"/>
  <c r="C26" i="11"/>
  <c r="D22" i="11"/>
  <c r="C25" i="11"/>
  <c r="C24" i="11"/>
  <c r="C16" i="71"/>
  <c r="D17" i="71"/>
  <c r="H23" i="6"/>
  <c r="R23" i="6"/>
  <c r="R10" i="1"/>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D27" i="6"/>
  <c r="D31" i="6"/>
  <c r="D8" i="74"/>
  <c r="D7" i="74"/>
  <c r="R21" i="6"/>
  <c r="R8" i="1"/>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J19" i="67"/>
  <c r="C34" i="68"/>
  <c r="B6" i="76"/>
  <c r="C14" i="15"/>
  <c r="E6" i="76"/>
  <c r="C22" i="11"/>
  <c r="C31" i="11"/>
  <c r="C15" i="71"/>
  <c r="T16" i="71"/>
  <c r="D16" i="71"/>
  <c r="U16" i="71"/>
  <c r="T16" i="1"/>
  <c r="C18" i="15"/>
  <c r="C15" i="15"/>
  <c r="C38" i="68"/>
  <c r="C35" i="68"/>
  <c r="C36" i="11"/>
  <c r="C37" i="11"/>
  <c r="C34" i="11"/>
  <c r="C23" i="12"/>
  <c r="C14" i="12"/>
  <c r="C16" i="12"/>
  <c r="C21" i="12"/>
  <c r="C22" i="12"/>
  <c r="S19" i="6"/>
  <c r="S27" i="6"/>
  <c r="I27" i="6"/>
  <c r="C19" i="68"/>
  <c r="D37" i="68"/>
  <c r="C37" i="68"/>
  <c r="C19" i="69"/>
  <c r="I5" i="6"/>
  <c r="I6" i="6"/>
  <c r="E2" i="76"/>
  <c r="B2" i="76"/>
  <c r="I69" i="39"/>
  <c r="J67" i="39"/>
  <c r="I63" i="40"/>
  <c r="H65" i="40"/>
  <c r="I58" i="21"/>
  <c r="J58" i="21"/>
  <c r="K58" i="21"/>
  <c r="L58" i="21"/>
  <c r="M58" i="21"/>
  <c r="N58" i="21"/>
  <c r="O58" i="21"/>
  <c r="H7" i="21"/>
  <c r="J48" i="35"/>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57" i="67"/>
  <c r="C64" i="67"/>
  <c r="Q70" i="67"/>
  <c r="C33" i="11"/>
  <c r="C39" i="11"/>
  <c r="C61" i="67"/>
  <c r="C42" i="68"/>
  <c r="C32" i="12"/>
  <c r="B2" i="12"/>
  <c r="B3" i="12"/>
  <c r="C23" i="15"/>
  <c r="C29" i="15"/>
  <c r="R27" i="6"/>
  <c r="C25" i="68"/>
  <c r="C22" i="68"/>
  <c r="C31" i="68"/>
  <c r="C46" i="68"/>
  <c r="C45" i="68"/>
  <c r="C43" i="68"/>
  <c r="L67" i="39"/>
  <c r="K69" i="39"/>
  <c r="J65" i="40"/>
  <c r="K63" i="40"/>
  <c r="I52" i="21"/>
  <c r="J52" i="21"/>
  <c r="U7" i="35"/>
  <c r="AB7" i="35"/>
  <c r="T38" i="35"/>
  <c r="G38" i="35"/>
  <c r="G52" i="21"/>
  <c r="H52" i="21"/>
  <c r="G53" i="21"/>
  <c r="H53" i="21"/>
  <c r="F7" i="35"/>
  <c r="F35" i="15"/>
  <c r="M21" i="67"/>
  <c r="M21" i="15"/>
  <c r="U37" i="34"/>
  <c r="E48" i="21"/>
  <c r="AC7" i="35"/>
  <c r="V38" i="35"/>
  <c r="I38" i="35"/>
  <c r="G43" i="35"/>
  <c r="H43"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I53" i="21"/>
  <c r="J53" i="21"/>
  <c r="K65" i="40"/>
  <c r="L63" i="40"/>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7"/>
  <c r="D2" i="34"/>
  <c r="D2" i="35"/>
  <c r="D19" i="9"/>
  <c r="D2" i="36"/>
  <c r="L51" i="15"/>
  <c r="D102" i="9"/>
  <c r="D21" i="9"/>
  <c r="C8" i="71"/>
  <c r="D9" i="71"/>
  <c r="Q57" i="67"/>
  <c r="Q62" i="67"/>
  <c r="Q66" i="67"/>
  <c r="Q75"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C19" i="9"/>
  <c r="AO7" i="1"/>
  <c r="AO6" i="1"/>
  <c r="AO10" i="1"/>
  <c r="D34" i="9"/>
  <c r="D35" i="9"/>
  <c r="AO9" i="1"/>
  <c r="AO12" i="1"/>
  <c r="AO11" i="1"/>
  <c r="AO8" i="1"/>
  <c r="C102" i="9"/>
  <c r="C21" i="9"/>
  <c r="D22" i="9"/>
  <c r="G19" i="9"/>
  <c r="G21" i="9"/>
  <c r="D103" i="9"/>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103" i="9"/>
  <c r="R24" i="31"/>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2" i="9"/>
  <c r="C35" i="9"/>
  <c r="C34" i="9"/>
  <c r="S24" i="31"/>
  <c r="R41" i="31"/>
  <c r="S41" i="31"/>
  <c r="R36" i="31"/>
  <c r="S36" i="31"/>
  <c r="R35" i="31"/>
  <c r="S35" i="31"/>
  <c r="R25" i="31"/>
  <c r="S25" i="31"/>
  <c r="R26" i="31"/>
  <c r="S26" i="31"/>
  <c r="R33" i="31"/>
  <c r="S33" i="31"/>
  <c r="R32" i="31"/>
  <c r="S32" i="31"/>
  <c r="R31" i="31"/>
  <c r="S31" i="31"/>
  <c r="R38" i="31"/>
  <c r="S38" i="31"/>
  <c r="R29" i="31"/>
  <c r="S29" i="31"/>
  <c r="R28" i="31"/>
  <c r="S28" i="31"/>
  <c r="R27" i="31"/>
  <c r="S27" i="31"/>
  <c r="R34" i="31"/>
  <c r="S34" i="31"/>
  <c r="R40" i="31"/>
  <c r="S40" i="31"/>
  <c r="R39" i="31"/>
  <c r="S39" i="31"/>
  <c r="R37" i="31"/>
  <c r="S37" i="31"/>
  <c r="R30" i="31"/>
  <c r="S30" i="31"/>
  <c r="D6" i="71"/>
  <c r="C5" i="71"/>
  <c r="D5" i="71"/>
  <c r="M24" i="43"/>
  <c r="C42" i="40"/>
  <c r="C43" i="40"/>
  <c r="E47" i="40"/>
  <c r="F47" i="40"/>
  <c r="E46" i="40"/>
  <c r="F46" i="40"/>
  <c r="I47" i="40"/>
  <c r="J47" i="40"/>
  <c r="S22" i="31"/>
  <c r="G14" i="74"/>
  <c r="B58" i="40"/>
  <c r="F58" i="40"/>
  <c r="B54" i="40"/>
  <c r="F54" i="40"/>
  <c r="B53" i="40"/>
  <c r="F53" i="40"/>
  <c r="B59" i="40"/>
  <c r="F59" i="40"/>
  <c r="B52" i="40"/>
  <c r="F52" i="40"/>
  <c r="B56" i="40"/>
  <c r="F56" i="40"/>
  <c r="B60" i="40"/>
  <c r="F60" i="40"/>
  <c r="B57" i="40"/>
  <c r="F57" i="40"/>
  <c r="B51" i="40"/>
  <c r="F51" i="40"/>
  <c r="F61" i="40"/>
  <c r="B2" i="40"/>
  <c r="B3" i="40"/>
  <c r="R22" i="31"/>
  <c r="B20" i="31"/>
  <c r="B21" i="31"/>
  <c r="F14" i="74"/>
  <c r="B5" i="74"/>
  <c r="D5" i="74"/>
  <c r="B6" i="74"/>
  <c r="D6" i="74"/>
  <c r="G118" i="9"/>
  <c r="G4" i="52"/>
  <c r="B52" i="72"/>
  <c r="I118" i="9"/>
  <c r="H102" i="9"/>
  <c r="F118" i="9"/>
  <c r="F4" i="52"/>
  <c r="B51" i="72"/>
  <c r="C5" i="74"/>
  <c r="D7" i="53"/>
  <c r="B21" i="72"/>
  <c r="I4" i="52"/>
  <c r="C105" i="9"/>
  <c r="H118" i="9"/>
  <c r="E118" i="9"/>
  <c r="F119" i="9"/>
  <c r="F5" i="52"/>
  <c r="B53" i="72"/>
  <c r="C104" i="9"/>
  <c r="H101" i="9"/>
  <c r="H4" i="52"/>
  <c r="H119" i="9"/>
  <c r="H5" i="52"/>
  <c r="D118" i="9"/>
  <c r="E4" i="52"/>
  <c r="B48" i="72"/>
  <c r="M48" i="9"/>
  <c r="D5" i="53"/>
  <c r="D45" i="9"/>
  <c r="H107" i="9"/>
  <c r="D4" i="52"/>
  <c r="B47" i="72"/>
  <c r="D119" i="9"/>
  <c r="D5" i="52"/>
  <c r="B49" i="72"/>
  <c r="H108" i="9"/>
  <c r="M49" i="9"/>
  <c r="D122" i="9"/>
  <c r="D13" i="53"/>
  <c r="C64" i="9"/>
  <c r="C63" i="9"/>
  <c r="C67" i="9"/>
  <c r="C93" i="9"/>
  <c r="C86" i="9"/>
  <c r="D53" i="9"/>
  <c r="C78" i="9"/>
  <c r="C73" i="9"/>
  <c r="D55" i="9"/>
  <c r="M53" i="9"/>
  <c r="C72" i="9"/>
  <c r="D52" i="9"/>
  <c r="C85" i="9"/>
  <c r="B20" i="72"/>
  <c r="D6" i="53"/>
  <c r="B22" i="72"/>
  <c r="C79" i="9"/>
  <c r="C80" i="9"/>
  <c r="E80" i="9"/>
  <c r="E81" i="9"/>
  <c r="C95" i="9"/>
  <c r="B30" i="72"/>
  <c r="D14" i="53"/>
  <c r="B32" i="72"/>
  <c r="D123" i="9"/>
  <c r="D9" i="52"/>
  <c r="D8" i="52"/>
  <c r="L67" i="9"/>
  <c r="M67" i="9"/>
  <c r="L65" i="9"/>
  <c r="M65" i="9"/>
  <c r="L66" i="9"/>
  <c r="M66" i="9"/>
  <c r="L63" i="9"/>
  <c r="M63" i="9"/>
  <c r="L68" i="9"/>
  <c r="M68" i="9"/>
  <c r="L64" i="9"/>
  <c r="M64" i="9"/>
  <c r="D59" i="9"/>
  <c r="M55" i="9"/>
  <c r="C68" i="9"/>
  <c r="D54" i="9"/>
  <c r="C6" i="74"/>
  <c r="D15" i="53"/>
  <c r="B31" i="72"/>
  <c r="M69" i="9"/>
  <c r="N69" i="9"/>
  <c r="C96" i="9"/>
  <c r="E96" i="9"/>
  <c r="E97" i="9"/>
  <c r="C81"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<sst xmlns="http://schemas.openxmlformats.org/spreadsheetml/2006/main" count="8003" uniqueCount="3483">
  <si>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</si>
  <si>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</si>
  <si>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</si>
  <si>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</si>
  <si>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</si>
  <si>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</si>
  <si>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</si>
  <si>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</si>
  <si>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</si>
  <si>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</si>
  <si>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</si>
  <si>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</si>
  <si>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</si>
  <si>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</si>
  <si>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</si>
  <si>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</si>
  <si>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</si>
  <si>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</si>
  <si>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</si>
  <si>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</si>
  <si>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</si>
  <si>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</si>
  <si>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</si>
  <si>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</si>
  <si>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</si>
  <si>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</si>
  <si>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</si>
  <si>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</si>
  <si>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</si>
  <si>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</si>
  <si>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</si>
  <si>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</si>
  <si>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</si>
  <si>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</si>
  <si>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</si>
  <si>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</si>
  <si>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</si>
  <si>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</si>
  <si>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</si>
  <si>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</si>
  <si>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</si>
  <si>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</si>
  <si>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</si>
  <si>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</si>
  <si>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</si>
  <si>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</si>
  <si>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</si>
  <si>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</si>
  <si>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</si>
  <si>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</si>
  <si>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</si>
  <si>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</si>
  <si>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</si>
  <si>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</si>
  <si>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</si>
  <si>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</si>
  <si>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</si>
  <si>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</si>
  <si>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</si>
  <si>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</si>
  <si>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</si>
  <si>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</si>
  <si>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</si>
  <si>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</si>
  <si>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</si>
  <si>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</si>
  <si>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</si>
  <si>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</si>
  <si>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</si>
  <si>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</si>
  <si>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</si>
  <si>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</si>
  <si>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</si>
  <si>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</si>
  <si>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</si>
  <si>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</si>
  <si>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</si>
  <si>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</si>
  <si>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</si>
  <si>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</si>
  <si>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</si>
  <si>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</si>
  <si>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</si>
  <si>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</si>
  <si>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</si>
  <si>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</si>
  <si>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</si>
  <si>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</si>
  <si>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</si>
  <si>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</si>
  <si>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</si>
  <si>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</si>
  <si>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</si>
  <si>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</si>
  <si>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</si>
  <si>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</si>
  <si>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</si>
  <si>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</si>
  <si>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</si>
  <si>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</si>
  <si>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</si>
  <si>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</si>
  <si>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</si>
  <si>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</si>
  <si>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</si>
  <si>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</si>
  <si>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</si>
  <si>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</si>
  <si>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</si>
  <si>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</si>
  <si>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</si>
  <si>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</si>
  <si>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</si>
  <si>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</si>
  <si>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</si>
  <si>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</si>
  <si>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</si>
  <si>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</si>
  <si>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</si>
  <si>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</si>
  <si>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</si>
  <si>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</si>
  <si>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</si>
  <si>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</si>
  <si>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</si>
  <si>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</si>
  <si>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</si>
  <si>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</si>
  <si>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</si>
  <si>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</si>
  <si>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</si>
  <si>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</si>
  <si>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</si>
  <si>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</si>
  <si>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</si>
  <si>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</si>
  <si>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</si>
  <si>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</si>
  <si>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</si>
  <si>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</si>
  <si>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</si>
  <si>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</si>
  <si>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</si>
  <si>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</si>
  <si>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</si>
  <si>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</si>
  <si>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</si>
  <si>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</si>
  <si>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</si>
  <si>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</si>
  <si>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</si>
  <si>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</si>
  <si>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</si>
  <si>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</si>
  <si>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</si>
  <si>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</si>
  <si>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</si>
  <si>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</si>
  <si>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</si>
  <si>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</si>
  <si>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</si>
  <si>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</si>
  <si>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</si>
  <si>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</si>
  <si>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</si>
  <si>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</si>
  <si>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</si>
  <si>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</si>
  <si>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</si>
  <si>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</si>
  <si>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</si>
  <si>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</si>
  <si>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</si>
  <si>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</si>
  <si>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</si>
  <si>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</si>
  <si>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</si>
  <si>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</si>
  <si>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</si>
  <si>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</si>
  <si>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</si>
  <si>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</si>
  <si>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</si>
  <si>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</si>
  <si>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</si>
  <si>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</si>
  <si>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</si>
  <si>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</si>
  <si>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</si>
  <si>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</si>
  <si>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</si>
  <si>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</si>
  <si>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</si>
  <si>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</si>
  <si>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</si>
  <si>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</si>
  <si>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</si>
  <si>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</si>
  <si>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</si>
  <si>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</si>
  <si>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</si>
  <si>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</si>
  <si>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</si>
  <si>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</si>
  <si>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</si>
  <si>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</si>
  <si>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</si>
  <si>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</si>
  <si>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</si>
  <si>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</si>
  <si>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</si>
  <si>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</si>
  <si>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</si>
  <si>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</si>
  <si>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</si>
  <si>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</si>
  <si>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</si>
  <si>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</si>
  <si>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</si>
  <si>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</si>
  <si>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</si>
  <si>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</si>
  <si>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</si>
  <si>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</si>
  <si>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</si>
  <si>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</si>
  <si>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</si>
  <si>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</si>
  <si>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</si>
  <si>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</si>
  <si>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</si>
  <si>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</si>
  <si>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</si>
  <si>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</si>
  <si>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</si>
  <si>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</si>
  <si>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</si>
  <si>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</si>
  <si>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</si>
  <si>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</si>
  <si>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</si>
  <si>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</si>
  <si>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</si>
  <si>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</si>
  <si>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</si>
  <si>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</si>
  <si>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</si>
  <si>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</si>
  <si>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</si>
  <si>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</si>
  <si>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</si>
  <si>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</si>
  <si>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</si>
  <si>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</si>
  <si>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</si>
  <si>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</si>
  <si>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</si>
  <si>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</si>
  <si>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</si>
  <si>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</si>
  <si>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</si>
  <si>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</si>
  <si>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</si>
  <si>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</si>
  <si>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</si>
  <si>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</si>
  <si>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</si>
  <si>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</si>
  <si>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</si>
  <si>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</si>
  <si>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</si>
  <si>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</si>
  <si>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</si>
  <si>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</si>
  <si>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</si>
  <si>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</si>
  <si>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</si>
  <si>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</si>
  <si>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</si>
  <si>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</si>
  <si>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</si>
  <si>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</si>
  <si>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</si>
  <si>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</si>
  <si>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</si>
  <si>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</si>
  <si>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</si>
  <si>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</si>
  <si>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</si>
  <si>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</si>
  <si>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</si>
  <si>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</si>
  <si>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</si>
  <si>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</si>
  <si>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</si>
  <si>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</si>
  <si>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</si>
  <si>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</si>
  <si>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</si>
  <si>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</si>
  <si>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</si>
  <si>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</si>
  <si>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</si>
  <si>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</si>
  <si>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</si>
  <si>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</si>
  <si>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</si>
  <si>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</si>
  <si>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</si>
  <si>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</si>
  <si>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</si>
  <si>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</si>
  <si>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</si>
  <si>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</si>
  <si>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</si>
  <si>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</si>
  <si>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</si>
  <si>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</si>
  <si>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</si>
  <si>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</si>
  <si>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</si>
  <si>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</si>
  <si>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</si>
  <si>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</si>
  <si>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</si>
  <si>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</si>
  <si>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</si>
  <si>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</si>
  <si>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</si>
  <si>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</si>
  <si>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</si>
  <si>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</si>
  <si>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</si>
  <si>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</si>
  <si>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</si>
  <si>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</si>
  <si>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</si>
  <si>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</si>
  <si>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</si>
  <si>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</si>
  <si>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</si>
  <si>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</si>
  <si>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</si>
  <si>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</si>
  <si>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</si>
  <si>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</si>
  <si>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</si>
  <si>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</si>
  <si>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</si>
  <si>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</si>
  <si>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</si>
  <si>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</si>
  <si>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</si>
  <si>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</si>
  <si>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</si>
  <si>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</si>
  <si>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</si>
  <si>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</si>
  <si>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</si>
  <si>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</si>
  <si>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</si>
  <si>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</si>
  <si>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</si>
  <si>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</si>
  <si>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</si>
  <si>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</si>
  <si>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</si>
  <si>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</si>
  <si>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</si>
  <si>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</si>
  <si>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</si>
  <si>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</si>
  <si>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</si>
  <si>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</si>
  <si>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</si>
  <si>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</si>
  <si>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</si>
  <si>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</si>
  <si>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</si>
  <si>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</si>
  <si>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</si>
  <si>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</si>
  <si>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</si>
  <si>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</si>
  <si>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</si>
  <si>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</si>
  <si>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</si>
  <si>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</si>
  <si>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</si>
  <si>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</si>
  <si>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</si>
  <si>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</si>
  <si>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</si>
  <si>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</si>
  <si>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</si>
  <si>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</si>
  <si>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</si>
  <si>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</si>
  <si>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</si>
  <si>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</si>
  <si>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</si>
  <si>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</si>
  <si>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</si>
  <si>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</si>
  <si>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</si>
  <si>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</si>
  <si>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</si>
  <si>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</si>
  <si>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</si>
  <si>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</si>
  <si>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</si>
  <si>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</si>
  <si>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</si>
  <si>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</si>
  <si>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</si>
  <si>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</si>
  <si>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</si>
  <si>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</si>
  <si>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</si>
  <si>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</si>
  <si>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</si>
  <si>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</si>
  <si>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</si>
  <si>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</si>
  <si>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</si>
  <si>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</si>
  <si>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</si>
  <si>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</si>
  <si>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</si>
  <si>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</si>
  <si>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</si>
  <si>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</si>
  <si>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</si>
  <si>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</si>
  <si>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</si>
  <si>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</si>
  <si>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</si>
  <si>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</si>
  <si>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</si>
  <si>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</si>
  <si>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</si>
  <si>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</si>
  <si>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</si>
  <si>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</si>
  <si>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</si>
  <si>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</si>
  <si>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</si>
  <si>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</si>
  <si>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</si>
  <si>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</si>
  <si>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</si>
  <si>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</si>
  <si>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</si>
  <si>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</si>
  <si>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</si>
  <si>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</si>
  <si>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</si>
  <si>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</si>
  <si>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</si>
  <si>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</si>
  <si>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</si>
  <si>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</si>
  <si>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</si>
  <si>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</si>
  <si>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</si>
  <si>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</si>
  <si>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</si>
  <si>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</si>
  <si>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</si>
  <si>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</si>
  <si>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</si>
  <si>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</si>
  <si>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</si>
  <si>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</si>
  <si>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</si>
  <si>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</si>
  <si>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</si>
  <si>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</si>
  <si>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</si>
  <si>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</si>
  <si>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</si>
  <si>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</si>
  <si>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</si>
  <si>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</si>
  <si>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</si>
  <si>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</si>
  <si>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</si>
  <si>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</si>
  <si>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</si>
  <si>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</si>
  <si>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</si>
  <si>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</si>
  <si>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</si>
  <si>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</si>
  <si>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</si>
  <si>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</si>
  <si>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</si>
  <si>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</si>
  <si>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</si>
  <si>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</si>
  <si>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</si>
  <si>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</si>
  <si>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</si>
  <si>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</si>
  <si>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</si>
  <si>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</si>
  <si>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</si>
  <si>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</si>
  <si>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</si>
  <si>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</si>
  <si>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</si>
  <si>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</si>
  <si>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</si>
  <si>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</si>
  <si>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</si>
  <si>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</si>
  <si>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</si>
  <si>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</si>
  <si>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</si>
  <si>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</si>
  <si>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</si>
  <si>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</si>
  <si>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</si>
  <si>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</si>
  <si>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</si>
  <si>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</si>
  <si>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</si>
  <si>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</si>
  <si>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</si>
  <si>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</si>
  <si>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</si>
  <si>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</si>
  <si>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</si>
  <si>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</si>
  <si>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</si>
  <si>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</si>
  <si>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</si>
  <si>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</si>
  <si>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</si>
  <si>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</si>
  <si>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</si>
  <si>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</si>
  <si>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</si>
  <si>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</si>
  <si>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</si>
  <si>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</si>
  <si>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</si>
  <si>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</si>
  <si>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</si>
  <si>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</si>
  <si>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</si>
  <si>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</si>
  <si>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</si>
  <si>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</si>
  <si>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</si>
  <si>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</si>
  <si>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</si>
  <si>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</si>
  <si>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</si>
  <si>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</si>
  <si>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</si>
  <si>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</si>
  <si>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</si>
  <si>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</si>
  <si>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</si>
  <si>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</si>
  <si>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</si>
  <si>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</si>
  <si>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</si>
  <si>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</si>
  <si>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</si>
  <si>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</si>
  <si>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</si>
  <si>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</si>
  <si>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</si>
  <si>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</si>
  <si>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</si>
  <si>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</si>
  <si>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</si>
  <si>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</si>
  <si>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</si>
  <si>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</si>
  <si>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</si>
  <si>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</si>
  <si>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</si>
  <si>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</si>
  <si>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</si>
  <si>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</si>
  <si>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</si>
  <si>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</si>
  <si>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</si>
  <si>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</si>
  <si>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</si>
  <si>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</si>
  <si>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</si>
  <si>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</si>
  <si>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</si>
  <si>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</si>
  <si>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</si>
  <si>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</si>
  <si>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</si>
  <si>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</si>
  <si>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</si>
  <si>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</si>
  <si>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</si>
  <si>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</si>
  <si>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</si>
  <si>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</si>
  <si>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</si>
  <si>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</si>
  <si>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</si>
  <si>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</si>
  <si>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</si>
  <si>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</si>
  <si>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</si>
  <si>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</si>
  <si>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</si>
  <si>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</si>
  <si>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</si>
  <si>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</si>
  <si>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</si>
  <si>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</si>
  <si>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</si>
  <si>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</si>
  <si>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</si>
  <si>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</si>
  <si>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</si>
  <si>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</si>
  <si>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</si>
  <si>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</si>
  <si>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</si>
  <si>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</si>
  <si>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</si>
  <si>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</si>
  <si>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</si>
  <si>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</si>
  <si>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</si>
  <si>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</si>
  <si>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</si>
  <si>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</si>
  <si>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</si>
  <si>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</si>
  <si>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</si>
  <si>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</si>
  <si>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</si>
  <si>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</si>
  <si>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</si>
  <si>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</si>
  <si>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</si>
  <si>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</si>
  <si>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</si>
  <si>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</si>
  <si>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</si>
  <si>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</si>
  <si>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</si>
  <si>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</si>
  <si>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</si>
  <si>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</si>
  <si>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</si>
  <si>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</si>
  <si>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</si>
  <si>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</si>
  <si>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</si>
  <si>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</si>
  <si>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</si>
  <si>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</si>
  <si>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</si>
  <si>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</si>
  <si>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</si>
  <si>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</si>
  <si>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</si>
  <si>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</si>
  <si>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</si>
  <si>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</si>
  <si>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</si>
  <si>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</si>
  <si>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</si>
  <si>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</si>
  <si>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</si>
  <si>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</si>
  <si>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</si>
  <si>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</si>
  <si>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</si>
  <si>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</si>
  <si>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</si>
  <si>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</si>
  <si>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</si>
  <si>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</si>
  <si>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</si>
  <si>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</si>
  <si>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</si>
  <si>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</si>
  <si>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</si>
  <si>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</si>
  <si>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</si>
  <si>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</si>
  <si>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</si>
  <si>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</si>
  <si>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</si>
  <si>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</si>
  <si>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</si>
  <si>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</si>
  <si>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</si>
  <si>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</si>
  <si>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</si>
  <si>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</si>
  <si>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</si>
  <si>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</si>
  <si>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</si>
  <si>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</si>
  <si>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</si>
  <si>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</si>
  <si>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</si>
  <si>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</si>
  <si>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</si>
  <si>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</si>
  <si>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</si>
  <si>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</si>
  <si>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</si>
  <si>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</si>
  <si>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</si>
  <si>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</si>
  <si>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</si>
  <si>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</si>
  <si>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</si>
  <si>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</si>
  <si>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</si>
  <si>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</si>
  <si>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</si>
  <si>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</si>
  <si>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</si>
  <si>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</si>
  <si>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</si>
  <si>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</si>
  <si>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</si>
  <si>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</si>
  <si>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</si>
  <si>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</si>
  <si>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</si>
  <si>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</si>
  <si>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</si>
  <si>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</si>
  <si>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</si>
  <si>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</si>
  <si>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</si>
  <si>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</si>
  <si>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</si>
  <si>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</si>
  <si>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</si>
  <si>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</si>
  <si>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</si>
  <si>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</si>
  <si>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</si>
  <si>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</si>
  <si>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</si>
  <si>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</si>
  <si>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</si>
  <si>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</si>
  <si>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</si>
  <si>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</si>
  <si>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</si>
  <si>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</si>
  <si>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</si>
  <si>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</si>
  <si>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</si>
  <si>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</si>
  <si>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</si>
  <si>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</si>
  <si>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</si>
  <si>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</si>
  <si>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</si>
  <si>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</si>
  <si>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</si>
  <si>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</si>
  <si>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</si>
  <si>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</si>
  <si>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</si>
  <si>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</si>
  <si>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</si>
  <si>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</si>
  <si>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</si>
  <si>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</si>
  <si>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</si>
  <si>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</si>
  <si>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</si>
  <si>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</si>
  <si>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</si>
  <si>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</si>
  <si>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</si>
  <si>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</si>
  <si>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</si>
  <si>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</si>
  <si>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</si>
  <si>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</si>
  <si>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</si>
  <si>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</si>
  <si>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</si>
  <si>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</si>
  <si>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</si>
  <si>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</si>
  <si>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</si>
  <si>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</si>
  <si>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</si>
  <si>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</si>
  <si>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</si>
  <si>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</si>
  <si>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</si>
  <si>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</si>
  <si>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</si>
  <si>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</si>
  <si>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</si>
  <si>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</si>
  <si>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</si>
  <si>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</si>
  <si>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</si>
  <si>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</si>
  <si>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</si>
  <si>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</si>
  <si>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</si>
  <si>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</si>
  <si>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</si>
  <si>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</si>
  <si>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</si>
  <si>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</si>
  <si>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</si>
  <si>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</si>
  <si>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</si>
  <si>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</si>
  <si>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</si>
  <si>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</si>
  <si>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</si>
  <si>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</si>
  <si>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</si>
  <si>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</si>
  <si>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</si>
  <si>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</si>
  <si>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</si>
  <si>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</si>
  <si>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</si>
  <si>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</si>
  <si>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</si>
  <si>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</si>
  <si>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</si>
  <si>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</si>
  <si>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</si>
  <si>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</si>
  <si>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</si>
  <si>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</si>
  <si>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</si>
  <si>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</si>
  <si>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</si>
  <si>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</si>
  <si>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</si>
  <si>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</si>
  <si>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</si>
  <si>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</si>
  <si>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</si>
  <si>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</si>
  <si>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</si>
  <si>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</si>
  <si>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</si>
  <si>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</si>
  <si>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</si>
  <si>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</si>
  <si>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</si>
  <si>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</si>
  <si>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</si>
  <si>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</si>
  <si>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</si>
  <si>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</si>
  <si>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</si>
  <si>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</si>
  <si>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</si>
  <si>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</si>
  <si>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</si>
  <si>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</si>
  <si>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</si>
  <si>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</si>
  <si>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</si>
  <si>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</si>
  <si>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</si>
  <si>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</si>
  <si>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</si>
  <si>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</si>
  <si>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</si>
  <si>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</si>
  <si>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</si>
  <si>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</si>
  <si>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</si>
  <si>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</si>
  <si>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</si>
  <si>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</si>
  <si>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</si>
  <si>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</si>
  <si>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</si>
  <si>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</si>
  <si>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</si>
  <si>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</si>
  <si>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</si>
  <si>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</si>
  <si>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</si>
  <si>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</si>
  <si>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</si>
  <si>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</si>
  <si>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</si>
  <si>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</si>
  <si>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</si>
  <si>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</si>
  <si>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</si>
  <si>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</si>
  <si>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</si>
  <si>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</si>
  <si>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</si>
  <si>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</si>
  <si>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</si>
  <si>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</si>
  <si>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</si>
  <si>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</si>
  <si>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</si>
  <si>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</si>
  <si>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</si>
  <si>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</si>
  <si>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</si>
  <si>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</si>
  <si>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</si>
  <si>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</si>
  <si>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</si>
  <si>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</si>
  <si>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</si>
  <si>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</si>
  <si>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</si>
  <si>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</si>
  <si>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</si>
  <si>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</si>
  <si>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</si>
  <si>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</si>
  <si>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</si>
  <si>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</si>
  <si>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</si>
  <si>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</si>
  <si>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</si>
  <si>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</si>
  <si>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</si>
  <si>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</si>
  <si>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</si>
  <si>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</si>
  <si>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</si>
  <si>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</si>
  <si>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</si>
  <si>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</si>
  <si>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</si>
  <si>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</si>
  <si>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</si>
  <si>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</si>
  <si>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</si>
  <si>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</si>
  <si>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</si>
  <si>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</si>
  <si>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</si>
  <si>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</si>
  <si>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</si>
  <si>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</si>
  <si>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</si>
  <si>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</si>
  <si>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</si>
  <si>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</si>
  <si>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</si>
  <si>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</si>
  <si>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</si>
  <si>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</si>
  <si>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</si>
  <si>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</si>
  <si>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</si>
  <si>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</si>
  <si>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</si>
  <si>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</si>
  <si>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</si>
  <si>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</si>
  <si>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</si>
  <si>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</si>
  <si>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</si>
  <si>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</si>
  <si>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</si>
  <si>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</si>
  <si>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</si>
  <si>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</si>
  <si>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</si>
  <si>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</si>
  <si>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</si>
  <si>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</si>
  <si>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</si>
  <si>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</si>
  <si>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</si>
  <si>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</si>
  <si>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</si>
  <si>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</si>
  <si>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</si>
  <si>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</si>
  <si>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</si>
  <si>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</si>
  <si>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</si>
  <si>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</si>
  <si>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</si>
  <si>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</si>
  <si>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</si>
  <si>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</si>
  <si>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</si>
  <si>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</si>
  <si>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</si>
  <si>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</si>
  <si>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</si>
  <si>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</si>
  <si>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</si>
  <si>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</si>
  <si>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</si>
  <si>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</si>
  <si>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</si>
  <si>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</si>
  <si>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</si>
  <si>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</si>
  <si>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</si>
  <si>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</si>
  <si>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</si>
  <si>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</si>
  <si>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</si>
  <si>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</si>
  <si>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</si>
  <si>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</si>
  <si>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</si>
  <si>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</si>
  <si>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</si>
  <si>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</si>
  <si>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</si>
  <si>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</si>
  <si>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</si>
  <si>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</si>
  <si>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</si>
  <si>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</si>
  <si>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</si>
  <si>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</si>
  <si>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</si>
  <si>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</si>
  <si>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</si>
  <si>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</si>
  <si>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</si>
  <si>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</si>
  <si>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</si>
  <si>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</si>
  <si>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</si>
  <si>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</si>
  <si>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</si>
  <si>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</si>
  <si>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</si>
  <si>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</si>
  <si>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</si>
  <si>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</si>
  <si>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</si>
  <si>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</si>
  <si>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</si>
  <si>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</si>
  <si>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</si>
  <si>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</si>
  <si>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</si>
  <si>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</si>
  <si>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</si>
  <si>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</si>
  <si>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</si>
  <si>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</si>
  <si>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</si>
  <si>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</si>
  <si>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</si>
  <si>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</si>
  <si>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</si>
  <si>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</si>
  <si>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</si>
  <si>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</si>
  <si>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</si>
  <si>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</si>
  <si>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</si>
  <si>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</si>
  <si>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</si>
  <si>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</si>
  <si>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</si>
  <si>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</si>
  <si>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</si>
  <si>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</si>
  <si>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</si>
  <si>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</si>
  <si>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</si>
  <si>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</si>
  <si>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</si>
  <si>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</si>
  <si>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</si>
  <si>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</si>
  <si>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</si>
  <si>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</si>
  <si>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</si>
  <si>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</si>
  <si>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</si>
  <si>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</si>
  <si>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</si>
  <si>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</si>
  <si>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</si>
  <si>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</si>
  <si>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</si>
  <si>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</si>
  <si>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</si>
  <si>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</si>
  <si>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</si>
  <si>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</si>
  <si>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</si>
  <si>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</si>
  <si>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</si>
  <si>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</si>
  <si>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</si>
  <si>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</si>
  <si>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</si>
  <si>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</si>
  <si>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</si>
  <si>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</si>
  <si>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</si>
  <si>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</si>
  <si>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</si>
  <si>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</si>
  <si>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</si>
  <si>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</si>
  <si>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</si>
  <si>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</si>
  <si>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</si>
  <si>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</si>
  <si>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</si>
  <si>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</si>
  <si>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</si>
  <si>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</si>
  <si>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</si>
  <si>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</si>
  <si>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</si>
  <si>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</si>
  <si>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</si>
  <si>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</si>
  <si>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</si>
  <si>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</si>
  <si>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</si>
  <si>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</si>
  <si>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</si>
  <si>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</si>
  <si>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</si>
  <si>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</si>
  <si>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</si>
  <si>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</si>
  <si>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</si>
  <si>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</si>
  <si>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</si>
  <si>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</si>
  <si>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</si>
  <si>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</si>
  <si>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</si>
  <si>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</si>
  <si>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</si>
  <si>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</si>
  <si>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</si>
  <si>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</si>
  <si>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</si>
  <si>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</si>
  <si>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</si>
  <si>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</si>
  <si>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</si>
  <si>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</si>
  <si>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</si>
  <si>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</si>
  <si>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</si>
  <si>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</si>
  <si>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</si>
  <si>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</si>
  <si>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</si>
  <si>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</si>
  <si>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</si>
  <si>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</si>
  <si>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</si>
  <si>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</si>
  <si>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</si>
  <si>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</si>
  <si>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</si>
  <si>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</si>
  <si>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</si>
  <si>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</si>
  <si>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</si>
  <si>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</si>
  <si>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</si>
  <si>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</si>
  <si>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</si>
  <si>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</si>
  <si>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</si>
  <si>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</si>
  <si>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</si>
  <si>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</si>
  <si>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</si>
  <si>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</si>
  <si>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</si>
  <si>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</si>
  <si>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</si>
  <si>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</si>
  <si>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</si>
  <si>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</si>
  <si>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</si>
  <si>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</si>
  <si>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</si>
  <si>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</si>
  <si>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</si>
  <si>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</si>
  <si>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</si>
  <si>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</si>
  <si>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</si>
  <si>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</si>
  <si>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</si>
  <si>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</si>
  <si>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</si>
  <si>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</si>
  <si>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</si>
  <si>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</si>
  <si>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</si>
  <si>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</si>
  <si>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</si>
  <si>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</si>
  <si>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</si>
  <si>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</si>
  <si>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</si>
  <si>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</si>
  <si>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</si>
  <si>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</si>
  <si>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</si>
  <si>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</si>
  <si>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</si>
  <si>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</si>
  <si>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</si>
  <si>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</si>
  <si>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</si>
  <si>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</si>
  <si>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</si>
  <si>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</si>
  <si>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</si>
  <si>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</si>
  <si>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</si>
  <si>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</si>
  <si>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</si>
  <si>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</si>
  <si>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</si>
  <si>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</si>
  <si>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</si>
  <si>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</si>
  <si>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</si>
  <si>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</si>
  <si>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</si>
  <si>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</si>
  <si>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</si>
  <si>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</si>
  <si>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</si>
  <si>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</si>
  <si>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</si>
  <si>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</si>
  <si>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</si>
  <si>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</si>
  <si>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</si>
  <si>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</si>
  <si>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</si>
  <si>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</si>
  <si>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</si>
  <si>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</si>
  <si>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</si>
  <si>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</si>
  <si>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</si>
  <si>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</si>
  <si>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</si>
  <si>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</si>
  <si>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</si>
  <si>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</si>
  <si>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</si>
  <si>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</si>
  <si>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</si>
  <si>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</si>
  <si>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</si>
  <si>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</si>
  <si>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</si>
  <si>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</si>
  <si>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</si>
  <si>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</si>
  <si>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</si>
  <si>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</si>
  <si>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</si>
  <si>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</si>
  <si>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</si>
  <si>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</si>
  <si>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</si>
  <si>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</si>
  <si>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</si>
  <si>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</si>
  <si>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</si>
  <si>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</si>
  <si>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</si>
  <si>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</si>
  <si>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</si>
  <si>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</si>
  <si>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</si>
  <si>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</si>
  <si>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</si>
  <si>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</si>
  <si>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</si>
  <si>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</si>
  <si>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</si>
  <si>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</si>
  <si>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</si>
  <si>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</si>
  <si>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</si>
  <si>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</si>
  <si>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</si>
  <si>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</si>
  <si>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</si>
  <si>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</si>
  <si>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</si>
  <si>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</si>
  <si>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</si>
  <si>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</si>
  <si>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</si>
  <si>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</si>
  <si>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</si>
  <si>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</si>
  <si>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</si>
  <si>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</si>
  <si>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</si>
  <si>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</si>
  <si>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</si>
  <si>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</si>
  <si>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</si>
  <si>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</si>
  <si>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</si>
  <si>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</si>
  <si>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</si>
  <si>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</si>
  <si>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</si>
  <si>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</si>
  <si>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</si>
  <si>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</si>
  <si>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</si>
  <si>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</si>
  <si>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</si>
  <si>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</si>
  <si>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</si>
  <si>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</si>
  <si>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</si>
  <si>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</si>
  <si>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</si>
  <si>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</si>
  <si>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</si>
  <si>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</si>
  <si>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</si>
  <si>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</si>
  <si>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</si>
  <si>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</si>
  <si>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</si>
  <si>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</si>
  <si>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</si>
  <si>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</si>
  <si>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</si>
  <si>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</si>
  <si>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</si>
  <si>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</si>
  <si>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</si>
  <si>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</si>
  <si>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</si>
  <si>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</si>
  <si>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</si>
  <si>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</si>
  <si>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</si>
  <si>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</si>
  <si>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</si>
  <si>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</si>
  <si>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</si>
  <si>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</si>
  <si>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</si>
  <si>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</si>
  <si>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</si>
  <si>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</si>
  <si>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</si>
  <si>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</si>
  <si>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</si>
  <si>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</si>
  <si>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</si>
  <si>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</si>
  <si>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</si>
  <si>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</si>
  <si>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</si>
  <si>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</si>
  <si>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</si>
  <si>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</si>
  <si>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</si>
  <si>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</si>
  <si>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</si>
  <si>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</si>
  <si>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</si>
  <si>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</si>
  <si>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</si>
  <si>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</si>
  <si>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</si>
  <si>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</si>
  <si>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</si>
  <si>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</si>
  <si>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</si>
  <si>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</si>
  <si>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</si>
  <si>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</si>
  <si>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</si>
  <si>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</si>
  <si>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</si>
  <si>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</si>
  <si>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</si>
  <si>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</si>
  <si>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</si>
  <si>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</si>
  <si>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</si>
  <si>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</si>
  <si>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</si>
  <si>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</si>
  <si>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</si>
  <si>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</si>
  <si>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</si>
  <si>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</si>
  <si>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</si>
  <si>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</si>
  <si>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</si>
  <si>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</si>
  <si>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</si>
  <si>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</si>
  <si>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</si>
  <si>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</si>
  <si>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</si>
  <si>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</si>
  <si>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</si>
  <si>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</si>
  <si>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</si>
  <si>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</si>
  <si>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</si>
  <si>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</si>
  <si>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</si>
  <si>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</si>
  <si>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</si>
  <si>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</si>
  <si>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</si>
  <si>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</si>
  <si>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</si>
  <si>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</si>
  <si>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</si>
  <si>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</si>
  <si>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</si>
  <si>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</si>
  <si>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</si>
  <si>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</si>
  <si>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</si>
  <si>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</si>
  <si>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</si>
  <si>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</si>
  <si>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</si>
  <si>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</si>
  <si>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</si>
  <si>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</si>
  <si>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</si>
  <si>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</si>
  <si>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</si>
  <si>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</si>
  <si>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</si>
  <si>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</si>
  <si>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</si>
  <si>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</si>
  <si>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</si>
  <si>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</si>
  <si>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</si>
  <si>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</si>
  <si>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</si>
  <si>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</si>
  <si>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</si>
  <si>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</si>
  <si>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</si>
  <si>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</si>
  <si>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</si>
  <si>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</si>
  <si>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</si>
  <si>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</si>
  <si>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</si>
  <si>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</si>
  <si>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</si>
  <si>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</si>
  <si>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</si>
  <si>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</si>
  <si>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</si>
  <si>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</si>
  <si>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</si>
  <si>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</si>
  <si>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</si>
  <si>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</si>
  <si>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</si>
  <si>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</si>
  <si>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</si>
  <si>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</si>
  <si>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</si>
  <si>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</si>
  <si>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</si>
  <si>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</si>
  <si>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</si>
  <si>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</si>
  <si>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</si>
  <si>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</si>
  <si>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</si>
  <si>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</si>
  <si>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</si>
  <si>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</si>
  <si>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</si>
  <si>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</si>
  <si>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</si>
  <si>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</si>
  <si>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</si>
  <si>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</si>
  <si>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</si>
  <si>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</si>
  <si>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</si>
  <si>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</si>
  <si>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</si>
  <si>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</si>
  <si>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</si>
  <si>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</si>
  <si>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</si>
  <si>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</si>
  <si>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</si>
  <si>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</si>
  <si>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</si>
  <si>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</si>
  <si>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</si>
  <si>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</si>
  <si>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</si>
  <si>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</si>
  <si>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</si>
  <si>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</si>
  <si>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</si>
  <si>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</si>
  <si>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</si>
  <si>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</si>
  <si>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</si>
  <si>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</si>
  <si>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</si>
  <si>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</si>
  <si>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</si>
  <si>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</si>
  <si>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</si>
  <si>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</si>
  <si>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</si>
  <si>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</si>
  <si>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</si>
  <si>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</si>
  <si>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</si>
  <si>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</si>
  <si>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</si>
  <si>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</si>
  <si>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</si>
  <si>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</si>
  <si>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</si>
  <si>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</si>
  <si>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</si>
  <si>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</si>
  <si>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</si>
  <si>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</si>
  <si>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</si>
  <si>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</si>
  <si>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</si>
  <si>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</si>
  <si>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</si>
  <si>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</si>
  <si>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</si>
  <si>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</si>
  <si>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</si>
  <si>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</si>
  <si>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</si>
  <si>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</si>
  <si>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</si>
  <si>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</si>
  <si>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</si>
  <si>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</si>
  <si>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</si>
  <si>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</si>
  <si>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</si>
  <si>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</si>
  <si>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</si>
  <si>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</si>
  <si>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</si>
  <si>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</si>
  <si>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</si>
  <si>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</si>
  <si>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</si>
  <si>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</si>
  <si>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</si>
  <si>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</si>
  <si>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</si>
  <si>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</si>
  <si>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</si>
  <si>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</si>
  <si>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</si>
  <si>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</si>
  <si>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</si>
  <si>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</si>
  <si>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</si>
  <si>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</si>
  <si>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</si>
  <si>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</si>
  <si>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</si>
  <si>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</si>
  <si>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</si>
  <si>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</si>
  <si>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</si>
  <si>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</si>
  <si>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</si>
  <si>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</si>
  <si>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</si>
  <si>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</si>
  <si>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</si>
  <si>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</si>
  <si>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</si>
  <si>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</si>
  <si>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</si>
  <si>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</si>
  <si>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</si>
  <si>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</si>
  <si>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</si>
  <si>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</si>
  <si>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</si>
  <si>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</si>
  <si>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</si>
  <si>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</si>
  <si>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</si>
  <si>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</si>
  <si>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</si>
  <si>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</si>
  <si>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</si>
  <si>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</si>
  <si>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</si>
  <si>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</si>
  <si>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</si>
  <si>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</si>
  <si>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</si>
  <si>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</si>
  <si>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</si>
  <si>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</si>
  <si>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</si>
  <si>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</si>
  <si>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</si>
  <si>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</si>
  <si>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</si>
  <si>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</si>
  <si>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</si>
  <si>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</si>
  <si>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</si>
  <si>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</si>
  <si>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</si>
  <si>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</si>
  <si>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</si>
  <si>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</si>
  <si>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</si>
  <si>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</si>
  <si>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</si>
  <si>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</si>
  <si>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</si>
  <si>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</si>
  <si>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</si>
  <si>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</si>
  <si>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</si>
  <si>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</si>
  <si>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</si>
  <si>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</si>
  <si>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</si>
  <si>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</si>
  <si>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</si>
  <si>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</si>
  <si>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</si>
  <si>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</si>
  <si>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</si>
  <si>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</si>
  <si>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</si>
  <si>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</si>
  <si>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</si>
  <si>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</si>
  <si>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</si>
  <si>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</si>
  <si>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</si>
  <si>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</si>
  <si>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</si>
  <si>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</si>
  <si>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</si>
  <si>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</si>
  <si>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</si>
  <si>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</si>
  <si>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</si>
  <si>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</si>
  <si>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</si>
  <si>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</si>
  <si>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</si>
  <si>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</si>
  <si>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</si>
  <si>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</si>
  <si>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</si>
  <si>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</si>
  <si>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</si>
  <si>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</si>
  <si>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</si>
  <si>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</si>
  <si>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</si>
  <si>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</si>
  <si>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</si>
  <si>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</si>
  <si>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</si>
  <si>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</si>
  <si>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</si>
  <si>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</si>
  <si>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</si>
  <si>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</si>
  <si>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</si>
  <si>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</si>
  <si>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</si>
  <si>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</si>
  <si>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</si>
  <si>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</si>
  <si>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</si>
  <si>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</si>
  <si>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</si>
  <si>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</si>
  <si>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</si>
  <si>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</si>
  <si>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</si>
  <si>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</si>
  <si>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</si>
  <si>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</si>
  <si>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</si>
  <si>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</si>
  <si>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</si>
  <si>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</si>
  <si>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</si>
  <si>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</si>
  <si>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</si>
  <si>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</si>
  <si>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</si>
  <si>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</si>
  <si>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</si>
  <si>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</si>
  <si>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</si>
  <si>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</si>
  <si>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</si>
  <si>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</si>
  <si>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</si>
  <si>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</si>
  <si>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</si>
  <si>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</si>
  <si>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</si>
  <si>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</si>
  <si>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</si>
  <si>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</si>
  <si>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</si>
  <si>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</si>
  <si>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</si>
  <si>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</si>
  <si>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</si>
  <si>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</si>
  <si>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</si>
  <si>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</si>
  <si>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</si>
  <si>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</si>
  <si>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</si>
  <si>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</si>
  <si>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</si>
  <si>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</si>
  <si>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</si>
  <si>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</si>
  <si>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</si>
  <si>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</si>
  <si>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</si>
  <si>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</si>
  <si>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</si>
  <si>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</si>
  <si>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</si>
  <si>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</si>
  <si>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</si>
  <si>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</si>
  <si>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</si>
  <si>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</si>
  <si>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</si>
  <si>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</si>
  <si>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</si>
  <si>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</si>
  <si>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</si>
  <si>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</si>
  <si>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</si>
  <si>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</si>
  <si>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</si>
  <si>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</si>
  <si>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</si>
  <si>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</si>
  <si>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</si>
  <si>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</si>
  <si>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</si>
  <si>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</si>
  <si>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</si>
  <si>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</si>
  <si>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</si>
  <si>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</si>
  <si>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</si>
  <si>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</si>
  <si>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</si>
  <si>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</si>
  <si>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</si>
  <si>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</si>
  <si>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</si>
  <si>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</si>
  <si>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</si>
  <si>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</si>
  <si>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</si>
  <si>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</si>
  <si>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</si>
  <si>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</si>
  <si>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</si>
  <si>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</si>
  <si>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</si>
  <si>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</si>
  <si>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</si>
  <si>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</si>
  <si>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</si>
  <si>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</si>
  <si>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</si>
  <si>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</si>
  <si>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</si>
  <si>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</si>
  <si>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</si>
  <si>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</si>
  <si>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</si>
  <si>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</si>
  <si>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</si>
  <si>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</si>
  <si>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</si>
  <si>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</si>
  <si>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</si>
  <si>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</si>
  <si>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</si>
  <si>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</si>
  <si>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</si>
  <si>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</si>
  <si>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</si>
  <si>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</si>
  <si>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</si>
  <si>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</si>
  <si>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</si>
  <si>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</si>
  <si>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</si>
  <si>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</si>
  <si>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</si>
  <si>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</si>
  <si>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</si>
  <si>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</si>
  <si>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</si>
  <si>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</si>
  <si>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</si>
  <si>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</si>
  <si>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</si>
  <si>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</si>
  <si>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</si>
  <si>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</si>
  <si>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</si>
  <si>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</si>
  <si>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</si>
  <si>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</si>
  <si>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</si>
  <si>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</si>
  <si>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</si>
  <si>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</si>
  <si>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</si>
  <si>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</si>
  <si>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</si>
  <si>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</si>
  <si>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</si>
  <si>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</si>
  <si>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</si>
  <si>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</si>
  <si>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</si>
  <si>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</si>
  <si>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</si>
  <si>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</si>
  <si>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</si>
  <si>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</si>
  <si>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</si>
  <si>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</si>
  <si>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</si>
  <si>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</si>
  <si>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</si>
  <si>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</si>
  <si>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</si>
  <si>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</si>
  <si>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</si>
  <si>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</si>
  <si>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</si>
  <si>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</si>
  <si>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</si>
  <si>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</si>
  <si>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</si>
  <si>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</si>
  <si>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</si>
  <si>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</si>
  <si>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</si>
  <si>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</si>
  <si>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</si>
  <si>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</si>
  <si>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</si>
  <si>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</si>
  <si>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</si>
  <si>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</si>
  <si>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</si>
  <si>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</si>
  <si>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</si>
  <si>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</si>
  <si>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</si>
  <si>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</si>
  <si>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</si>
  <si>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</si>
  <si>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</si>
  <si>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</si>
  <si>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</si>
  <si>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</si>
  <si>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</si>
  <si>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</si>
  <si>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</si>
  <si>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</si>
  <si>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</si>
  <si>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</si>
  <si>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</si>
  <si>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</si>
  <si>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</si>
  <si>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</si>
  <si>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</si>
  <si>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</si>
  <si>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</si>
  <si>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</si>
  <si>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</si>
  <si>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</si>
  <si>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</si>
  <si>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</si>
  <si>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</si>
  <si>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</si>
  <si>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</si>
  <si>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</si>
  <si>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</si>
  <si>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</si>
  <si>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</si>
  <si>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</si>
  <si>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</si>
  <si>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</si>
  <si>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</si>
  <si>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</si>
  <si>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</si>
  <si>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</si>
  <si>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</si>
  <si>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</si>
  <si>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</si>
  <si>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</si>
  <si>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</si>
  <si>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</si>
  <si>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</si>
  <si>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</si>
  <si>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</si>
  <si>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</si>
  <si>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</si>
  <si>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</si>
  <si>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</si>
  <si>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</si>
  <si>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</si>
  <si>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</si>
  <si>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</si>
  <si>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</si>
  <si>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</si>
  <si>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</si>
  <si>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</si>
  <si>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</si>
  <si>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</si>
  <si>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</si>
  <si>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</si>
  <si>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</si>
  <si>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</si>
  <si>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</si>
  <si>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</si>
  <si>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</si>
  <si>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</si>
  <si>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</si>
  <si>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</si>
  <si>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</si>
  <si>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</si>
  <si>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</si>
  <si>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</si>
  <si>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</si>
  <si>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</si>
  <si>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</si>
  <si>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</si>
  <si>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</si>
  <si>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</si>
  <si>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</si>
  <si>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</si>
  <si>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</si>
  <si>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</si>
  <si>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</si>
  <si>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</si>
  <si>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</si>
  <si>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</si>
  <si>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</si>
  <si>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</si>
  <si>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</si>
  <si>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</si>
  <si>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</si>
  <si>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</si>
  <si>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</si>
  <si>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</si>
  <si>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</si>
  <si>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</si>
  <si>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</si>
  <si>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</si>
  <si>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</si>
  <si>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</si>
  <si>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</si>
  <si>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</si>
  <si>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</si>
  <si>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</si>
  <si>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</si>
  <si>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</si>
  <si>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</si>
  <si>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</si>
  <si>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</si>
  <si>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</si>
  <si>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</si>
  <si>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</si>
  <si>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</si>
  <si>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</si>
  <si>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</si>
  <si>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</si>
  <si>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</si>
  <si>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</si>
  <si>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</si>
  <si>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</si>
  <si>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</si>
  <si>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</si>
  <si>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</si>
  <si>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</si>
  <si>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</si>
  <si>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</si>
  <si>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</si>
  <si>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</si>
  <si>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</si>
  <si>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</si>
  <si>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</si>
  <si>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</si>
  <si>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</si>
  <si>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</si>
  <si>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</si>
  <si>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</si>
  <si>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</si>
  <si>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</si>
  <si>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</si>
  <si>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</si>
  <si>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</si>
  <si>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</si>
  <si>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</si>
  <si>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</si>
  <si>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</si>
  <si>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</si>
  <si>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</si>
  <si>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</si>
  <si>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</si>
  <si>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</si>
  <si>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</si>
  <si>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</si>
  <si>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</si>
  <si>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</si>
  <si>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</si>
  <si>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</si>
  <si>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</si>
  <si>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</si>
  <si>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</si>
  <si>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</si>
  <si>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</si>
  <si>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</si>
  <si>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</si>
  <si>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</si>
  <si>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</si>
  <si>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</si>
  <si>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</si>
  <si>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</si>
  <si>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</si>
  <si>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</si>
  <si>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</si>
  <si>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</si>
  <si>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</si>
  <si>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</si>
  <si>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</si>
  <si>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</si>
  <si>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</si>
  <si>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</si>
  <si>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</si>
  <si>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</si>
  <si>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</si>
  <si>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</si>
  <si>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</si>
  <si>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</si>
  <si>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</si>
  <si>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</si>
  <si>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</si>
  <si>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</si>
  <si>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</si>
  <si>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</si>
  <si>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</si>
  <si>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</si>
  <si>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</si>
  <si>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</si>
  <si>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</si>
  <si>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</si>
  <si>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</si>
  <si>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</si>
  <si>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</si>
  <si>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</si>
  <si>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</si>
  <si>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</si>
  <si>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</si>
  <si>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</si>
  <si>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</si>
  <si>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</si>
  <si>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</si>
  <si>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</si>
  <si>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</si>
  <si>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</si>
  <si>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</si>
  <si>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</si>
  <si>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</si>
  <si>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</si>
  <si>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</si>
  <si>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</si>
  <si>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</si>
  <si>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</si>
  <si>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</si>
  <si>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</si>
  <si>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</si>
  <si>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</si>
  <si>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</si>
  <si>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</si>
  <si>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</si>
  <si>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</si>
  <si>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</si>
  <si>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</si>
  <si>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</si>
  <si>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</si>
  <si>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</si>
  <si>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</si>
  <si>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</si>
  <si>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</si>
  <si>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</si>
  <si>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</si>
  <si>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</si>
  <si>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</si>
  <si>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</si>
  <si>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</si>
  <si>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</si>
  <si>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</si>
  <si>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</si>
  <si>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</si>
  <si>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</si>
  <si>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</si>
  <si>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</si>
  <si>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</si>
  <si>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</si>
  <si>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</si>
  <si>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</si>
  <si>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</si>
  <si>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</si>
  <si>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</si>
  <si>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</si>
  <si>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</si>
  <si>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</si>
  <si>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</si>
  <si>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</si>
  <si>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</si>
  <si>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</si>
  <si>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</si>
  <si>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</si>
  <si>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</si>
  <si>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</si>
  <si>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</si>
  <si>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</si>
  <si>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</si>
  <si>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</si>
  <si>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</si>
  <si>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</si>
  <si>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</si>
  <si>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</si>
  <si>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</si>
  <si>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</si>
  <si>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</si>
  <si>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</si>
  <si>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</si>
  <si>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</si>
  <si>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</si>
  <si>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</si>
  <si>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</si>
  <si>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</si>
  <si>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</si>
  <si>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</si>
  <si>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</si>
  <si>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</si>
  <si>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</si>
  <si>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</si>
  <si>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</si>
  <si>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</si>
  <si>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</si>
  <si>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</si>
  <si>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</si>
  <si>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</si>
  <si>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</si>
  <si>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</si>
  <si>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</si>
  <si>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</si>
  <si>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</si>
  <si>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</si>
  <si>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</si>
  <si>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</si>
  <si>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</si>
  <si>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</si>
  <si>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</si>
  <si>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</si>
  <si>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</si>
  <si>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</si>
  <si>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</si>
  <si>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</si>
  <si>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</si>
  <si>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</si>
  <si>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</si>
  <si>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</si>
  <si>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</si>
  <si>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</si>
  <si>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</si>
  <si>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</si>
  <si>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</si>
  <si>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</si>
  <si>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</si>
  <si>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</si>
  <si>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</si>
  <si>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</si>
  <si>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</si>
  <si>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</si>
  <si>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</si>
  <si>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</si>
  <si>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</si>
  <si>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</si>
  <si>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</si>
  <si>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</si>
  <si>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</si>
  <si>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</si>
  <si>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</si>
  <si>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</si>
  <si>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</si>
  <si>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</si>
  <si>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</si>
  <si>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</si>
  <si>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</si>
  <si>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</si>
  <si>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</si>
  <si>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</si>
  <si>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</si>
  <si>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</si>
  <si>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</si>
  <si>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</si>
  <si>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</si>
  <si>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</si>
  <si>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</si>
  <si>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</si>
  <si>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</si>
  <si>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</si>
  <si>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</si>
  <si>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</si>
  <si>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</si>
  <si>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</si>
  <si>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</si>
  <si>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</si>
  <si>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</si>
  <si>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</si>
  <si>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</si>
  <si>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</si>
  <si>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</si>
  <si>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</si>
  <si>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</si>
  <si>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</si>
  <si>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</si>
  <si>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</si>
  <si>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</si>
  <si>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</si>
  <si>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</si>
  <si>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</si>
  <si>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</si>
  <si>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</si>
  <si>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</si>
  <si>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</si>
  <si>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</si>
  <si>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</si>
  <si>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</si>
  <si>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</si>
  <si>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</si>
  <si>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</si>
  <si>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</si>
  <si>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</si>
  <si>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</si>
  <si>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</si>
  <si>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</si>
  <si>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</si>
  <si>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</si>
  <si>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</si>
  <si>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</si>
  <si>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</si>
  <si>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</si>
  <si>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</si>
  <si>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</si>
  <si>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</si>
  <si>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</si>
  <si>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</si>
  <si>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</si>
  <si>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</si>
  <si>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</si>
  <si>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</si>
  <si>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</si>
  <si>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</si>
  <si>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</si>
  <si>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</si>
  <si>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</si>
  <si>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</si>
  <si>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</si>
  <si>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</si>
  <si>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</si>
  <si>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</si>
  <si>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</si>
  <si>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</si>
  <si>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</si>
  <si>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</si>
  <si>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</si>
  <si>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</si>
  <si>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</si>
  <si>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</si>
  <si>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</si>
  <si>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</si>
  <si>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</si>
  <si>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</si>
  <si>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</si>
  <si>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</si>
  <si>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</si>
  <si>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</si>
  <si>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</si>
  <si>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</si>
  <si>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</si>
  <si>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</si>
  <si>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</si>
  <si>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</si>
  <si>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</si>
  <si>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</si>
  <si>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</si>
  <si>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</si>
  <si>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</si>
  <si>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</si>
  <si>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</si>
  <si>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</si>
  <si>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</si>
  <si>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</si>
  <si>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</si>
  <si>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</si>
  <si>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</si>
  <si>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</si>
  <si>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</si>
  <si>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</si>
  <si>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</si>
  <si>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</si>
  <si>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</si>
  <si>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</si>
  <si>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</si>
  <si>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</si>
  <si>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</si>
  <si>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</si>
  <si>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</si>
  <si>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</si>
  <si>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</si>
  <si>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</si>
  <si>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</si>
  <si>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</si>
  <si>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</si>
  <si>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</si>
  <si>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</si>
  <si>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</si>
  <si>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</si>
  <si>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</si>
  <si>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</si>
  <si>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</si>
  <si>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</si>
  <si>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</si>
  <si>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</si>
  <si>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</si>
  <si>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</si>
  <si>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</si>
  <si>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</si>
  <si>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</si>
  <si>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</si>
  <si>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</si>
  <si>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</si>
  <si>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</si>
  <si>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</si>
  <si>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</si>
  <si>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</si>
  <si>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</si>
  <si>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</si>
  <si>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</si>
  <si>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</si>
  <si>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</si>
  <si>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</si>
  <si>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</si>
  <si>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</si>
  <si>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</si>
  <si>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</si>
  <si>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</si>
  <si>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</si>
  <si>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</si>
  <si>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</si>
  <si>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</si>
  <si>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</si>
  <si>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</si>
  <si>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</si>
  <si>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</si>
  <si>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</si>
  <si>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</si>
  <si>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</si>
  <si>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</si>
  <si>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</si>
  <si>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</si>
  <si>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</si>
  <si>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</si>
  <si>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</si>
  <si>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</si>
  <si>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</si>
  <si>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</si>
  <si>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</si>
  <si>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</si>
  <si>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</si>
  <si>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</si>
  <si>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</si>
  <si>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</si>
  <si>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</si>
  <si>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</si>
  <si>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</si>
  <si>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</si>
  <si>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</si>
  <si>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</si>
  <si>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</si>
  <si>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</si>
  <si>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</si>
  <si>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</si>
  <si>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</si>
  <si>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</si>
  <si>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</si>
  <si>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</si>
  <si>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</si>
  <si>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</si>
  <si>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</si>
  <si>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</si>
  <si>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</si>
  <si>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</si>
  <si>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</si>
  <si>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</si>
  <si>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</si>
  <si>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</si>
  <si>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</si>
  <si>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</si>
  <si>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</si>
  <si>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</si>
  <si>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</si>
  <si>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</si>
  <si>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</si>
  <si>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</si>
  <si>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</si>
  <si>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</si>
  <si>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</si>
  <si>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</si>
  <si>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</si>
  <si>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</si>
  <si>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</si>
  <si>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</si>
  <si>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</si>
  <si>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</si>
  <si>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</si>
  <si>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</si>
  <si>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</si>
  <si>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</si>
  <si>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</si>
  <si>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</si>
  <si>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</si>
  <si>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</si>
  <si>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</si>
  <si>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</si>
  <si>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</si>
  <si>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</si>
  <si>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</si>
  <si>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</si>
  <si>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</si>
  <si>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</si>
  <si>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</si>
  <si>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</si>
  <si>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</si>
  <si>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</si>
  <si>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</si>
  <si>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</si>
  <si>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</si>
  <si>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</si>
  <si>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</si>
  <si>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</si>
  <si>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</si>
  <si>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</si>
  <si>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</si>
  <si>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</si>
  <si>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</si>
  <si>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</si>
  <si>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</si>
  <si>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</si>
  <si>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</si>
  <si>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</si>
  <si>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</si>
  <si>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</si>
  <si>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</si>
  <si>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</si>
  <si>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</si>
  <si>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</si>
  <si>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</si>
  <si>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</si>
  <si>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</si>
  <si>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</si>
  <si>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</si>
  <si>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</si>
  <si>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</si>
  <si>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</si>
  <si>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</si>
  <si>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</si>
  <si>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</si>
  <si>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</si>
  <si>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</si>
  <si>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</si>
  <si>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</si>
  <si>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</si>
  <si>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</si>
  <si>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</si>
  <si>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</si>
  <si>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</si>
  <si>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</si>
  <si>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</si>
  <si>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</si>
  <si>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</si>
  <si>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</si>
  <si>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</si>
  <si>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</si>
  <si>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</si>
  <si>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</si>
  <si>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</si>
  <si>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</si>
  <si>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</si>
  <si>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</si>
  <si>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</si>
  <si>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</si>
  <si>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</si>
  <si>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</si>
  <si>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</si>
  <si>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</si>
  <si>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</si>
  <si>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</si>
  <si>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</si>
  <si>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</si>
  <si>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</si>
  <si>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</si>
  <si>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</si>
  <si>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</si>
  <si>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</si>
  <si>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</si>
  <si>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</si>
  <si>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</si>
  <si>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</si>
  <si>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</si>
  <si>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</si>
  <si>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</si>
  <si>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</si>
  <si>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</si>
  <si>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</si>
  <si>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</si>
  <si>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</si>
  <si>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</si>
  <si>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</si>
  <si>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</si>
  <si>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</si>
  <si>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</si>
  <si>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</si>
  <si>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</si>
  <si>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</si>
  <si>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</si>
  <si>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</si>
  <si>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</si>
  <si>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</si>
  <si>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</si>
  <si>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</si>
  <si>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</si>
  <si>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</si>
  <si>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</si>
  <si>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</si>
  <si>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</si>
  <si>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</si>
  <si>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</si>
  <si>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</si>
  <si>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</si>
  <si>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</si>
  <si>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</si>
  <si>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</si>
  <si>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</si>
  <si>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</si>
  <si>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</si>
  <si>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</si>
  <si>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</si>
  <si>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</si>
  <si>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</si>
  <si>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</si>
  <si>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</si>
  <si>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</si>
  <si>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</si>
  <si>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</si>
  <si>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</si>
  <si>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</si>
  <si>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</si>
  <si>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</si>
  <si>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</si>
  <si>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</si>
  <si>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</si>
  <si>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</si>
  <si>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</si>
  <si>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</si>
  <si>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</si>
  <si>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</si>
  <si>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</si>
  <si>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</si>
  <si>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</si>
  <si>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</si>
  <si>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</si>
  <si>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</si>
  <si>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</si>
  <si>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</si>
  <si>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</si>
  <si>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</si>
  <si>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</si>
  <si>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</si>
  <si>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</si>
  <si>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</si>
  <si>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</si>
  <si>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</si>
  <si>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</si>
  <si>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</si>
  <si>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</si>
  <si>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</si>
  <si>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</si>
  <si>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</si>
  <si>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</si>
  <si>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</si>
  <si>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</si>
  <si>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</si>
  <si>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</si>
  <si>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</si>
  <si>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</si>
  <si>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</si>
  <si>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</si>
  <si>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</si>
  <si>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</si>
  <si>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</si>
  <si>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</si>
  <si>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</si>
  <si>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</si>
  <si>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</si>
  <si>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</si>
  <si>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</si>
  <si>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</si>
  <si>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</si>
  <si>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</si>
  <si>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</si>
  <si>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</si>
  <si>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</si>
  <si>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</si>
  <si>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</si>
  <si>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</si>
  <si>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</si>
  <si>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</si>
  <si>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</si>
  <si>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</si>
  <si>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</si>
  <si>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</si>
  <si>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</si>
  <si>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</si>
  <si>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</si>
  <si>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</si>
  <si>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</si>
  <si>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</si>
  <si>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</si>
  <si>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</si>
  <si>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</si>
  <si>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</si>
  <si>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</si>
  <si>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</si>
  <si>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</si>
  <si>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</si>
  <si>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</si>
  <si>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</si>
  <si>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</si>
  <si>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</si>
  <si>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</si>
  <si>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</si>
  <si>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</si>
  <si>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</si>
  <si>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</si>
  <si>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</si>
  <si>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</si>
  <si>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</si>
  <si>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</si>
  <si>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</si>
  <si>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</si>
  <si>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</si>
  <si>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</si>
  <si>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</si>
  <si>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</si>
  <si>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</si>
  <si>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</si>
  <si>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</si>
  <si>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</si>
  <si>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</si>
  <si>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</si>
  <si>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</si>
  <si>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</si>
  <si>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</si>
  <si>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</si>
  <si>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</si>
  <si>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</si>
  <si>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</si>
  <si>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</si>
  <si>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</si>
  <si>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</si>
  <si>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</si>
  <si>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</si>
  <si>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</si>
  <si>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</si>
  <si>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</si>
  <si>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</si>
  <si>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</si>
  <si>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</si>
  <si>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</si>
  <si>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</si>
  <si>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</si>
  <si>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</si>
  <si>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</si>
  <si>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</si>
  <si>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</si>
  <si>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</si>
  <si>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</si>
  <si>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</si>
  <si>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</si>
  <si>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</si>
  <si>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</si>
  <si>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</si>
  <si>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</si>
  <si>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</si>
  <si>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</si>
  <si>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</si>
  <si>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</si>
  <si>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</si>
  <si>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</si>
  <si>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</si>
  <si>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</si>
  <si>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</si>
  <si>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</si>
  <si>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</si>
  <si>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</si>
  <si>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</si>
  <si>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</si>
  <si>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</si>
  <si>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</si>
  <si>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</si>
  <si>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</si>
  <si>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</si>
  <si>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</si>
  <si>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</si>
  <si>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</si>
  <si>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</si>
  <si>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</si>
  <si>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</si>
  <si>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</si>
  <si>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</si>
  <si>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</si>
  <si>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</si>
  <si>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</si>
  <si>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</si>
  <si>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</si>
  <si>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</si>
  <si>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</si>
  <si>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</si>
  <si>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</si>
  <si>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</si>
  <si>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</si>
  <si>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</si>
  <si>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</si>
  <si>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</si>
  <si>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</si>
  <si>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</si>
  <si>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</si>
  <si>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</si>
  <si>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</si>
  <si>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</si>
  <si>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</si>
  <si>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</si>
  <si>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</si>
  <si>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</si>
  <si>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</si>
  <si>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</si>
  <si>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</si>
  <si>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</si>
  <si>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</si>
  <si>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</si>
  <si>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</si>
  <si>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</si>
  <si>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</si>
  <si>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</si>
  <si>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</si>
  <si>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</si>
  <si>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</si>
  <si>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</si>
  <si>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</si>
  <si>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</si>
  <si>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</si>
  <si>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</si>
  <si>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</si>
  <si>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</si>
  <si>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</si>
  <si>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</si>
  <si>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</si>
  <si>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</si>
  <si>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</si>
  <si>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</si>
  <si>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</si>
  <si>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</si>
  <si>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</si>
  <si>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</si>
  <si>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</si>
  <si>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</si>
  <si>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</si>
  <si>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</si>
  <si>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</si>
  <si>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</si>
  <si>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</si>
  <si>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</si>
  <si>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</si>
  <si>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</si>
  <si>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</si>
  <si>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</si>
  <si>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</si>
  <si>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</si>
  <si>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</si>
  <si>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</si>
  <si>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</si>
  <si>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</si>
  <si>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</si>
  <si>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</si>
  <si>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</si>
  <si>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</si>
  <si>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</si>
  <si>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</si>
  <si>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</si>
  <si>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</si>
  <si>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</si>
  <si>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</si>
  <si>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</si>
  <si>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</si>
  <si>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</si>
  <si>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</si>
  <si>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</si>
  <si>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</si>
  <si>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</si>
  <si>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</si>
  <si>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</si>
  <si>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</si>
  <si>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</si>
  <si>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</si>
  <si>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</si>
  <si>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</si>
  <si>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</si>
  <si>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</si>
  <si>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</si>
  <si>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</si>
  <si>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</si>
  <si>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</si>
  <si>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</si>
  <si>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</si>
  <si>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</si>
  <si>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</si>
  <si>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</si>
  <si>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</si>
  <si>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</si>
  <si>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</si>
  <si>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</si>
  <si>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</si>
  <si>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</si>
  <si>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</si>
  <si>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</si>
  <si>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</si>
  <si>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</si>
  <si>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</si>
  <si>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</si>
  <si>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</si>
  <si>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</si>
  <si>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</si>
  <si>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</si>
  <si>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</si>
  <si>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</si>
  <si>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</si>
  <si>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</si>
  <si>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</si>
  <si>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</si>
  <si>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</si>
  <si>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</si>
  <si>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</si>
  <si>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</si>
  <si>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</si>
  <si>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</si>
  <si>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</si>
  <si>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</si>
  <si>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</si>
  <si>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</si>
  <si>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</si>
  <si>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</si>
  <si>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</si>
  <si>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</si>
  <si>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</si>
  <si>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</si>
  <si>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</si>
  <si>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</si>
  <si>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</si>
  <si>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</si>
  <si>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</si>
  <si>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</si>
  <si>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</si>
  <si>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</si>
  <si>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</si>
  <si>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</si>
  <si>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</si>
  <si>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</si>
  <si>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</si>
  <si>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</si>
  <si>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</si>
  <si>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</si>
  <si>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</si>
  <si>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</si>
  <si>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</si>
  <si>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</si>
  <si>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</si>
  <si>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</si>
  <si>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</si>
  <si>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</si>
  <si>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</si>
  <si>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</si>
  <si>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</si>
  <si>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</si>
  <si>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</si>
  <si>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</si>
  <si>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</si>
  <si>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</si>
  <si>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</si>
  <si>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</si>
  <si>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</si>
  <si>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</si>
  <si>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</si>
  <si>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</si>
  <si>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</si>
  <si>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</si>
  <si>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</si>
  <si>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</si>
  <si>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</si>
  <si>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</si>
  <si>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</si>
  <si>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</si>
  <si>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</si>
  <si>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</si>
  <si>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</si>
  <si>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</si>
  <si>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</si>
  <si>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</si>
  <si>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</si>
  <si>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</si>
  <si>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</si>
  <si>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</si>
  <si>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</si>
  <si>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</si>
  <si>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</si>
  <si>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</si>
  <si>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</si>
  <si>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</si>
  <si>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</si>
  <si>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</si>
  <si>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</si>
  <si>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</si>
  <si>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</si>
  <si>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</si>
  <si>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</si>
  <si>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</si>
  <si>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</si>
  <si>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</si>
  <si>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</si>
  <si>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</si>
  <si>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</si>
  <si>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</si>
  <si>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</si>
  <si>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</si>
  <si>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</si>
  <si>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</si>
  <si>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</si>
  <si>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</si>
  <si>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</si>
  <si>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</si>
  <si>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</si>
  <si>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</si>
  <si>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</si>
  <si>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</si>
  <si>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</si>
  <si>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</si>
  <si>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</si>
  <si>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</si>
  <si>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</si>
  <si>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</si>
  <si>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</si>
  <si>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</si>
  <si>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</si>
  <si>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</si>
  <si>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</si>
  <si>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</si>
  <si>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</si>
  <si>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</si>
  <si>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</si>
  <si>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</si>
  <si>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</si>
  <si>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</si>
  <si>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</si>
  <si>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</si>
  <si>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</si>
  <si>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</si>
  <si>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</si>
  <si>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</si>
  <si>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</si>
  <si>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</si>
  <si>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</si>
  <si>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</si>
  <si>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</si>
  <si>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</si>
  <si>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</si>
  <si>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</si>
  <si>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</si>
  <si>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</si>
  <si>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</si>
  <si>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</si>
  <si>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</si>
  <si>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</si>
  <si>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</si>
  <si>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</si>
  <si>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</si>
  <si>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</si>
  <si>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</si>
  <si>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</si>
  <si>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</si>
  <si>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</si>
  <si>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</si>
  <si>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</si>
  <si>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</si>
  <si>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</si>
  <si>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</si>
  <si>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</si>
  <si>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</si>
  <si>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</si>
  <si>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</si>
  <si>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</si>
  <si>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</si>
  <si>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</si>
  <si>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</si>
  <si>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</si>
  <si>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</si>
  <si>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</si>
  <si>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</si>
  <si>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</si>
  <si>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</si>
  <si>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</si>
  <si>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</si>
  <si>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</si>
  <si>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</si>
  <si>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</si>
  <si>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</si>
  <si>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</si>
  <si>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</si>
  <si>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</si>
  <si>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</si>
  <si>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</si>
  <si>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</si>
  <si>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</si>
  <si>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</si>
  <si>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</si>
  <si>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</si>
  <si>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</si>
  <si>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</si>
  <si>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</si>
  <si>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</si>
  <si>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</si>
  <si>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</si>
  <si>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</si>
  <si>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</si>
  <si>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</si>
  <si>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</si>
  <si>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</si>
  <si>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</si>
  <si>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</si>
  <si>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</si>
  <si>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</si>
  <si>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</si>
  <si>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</si>
  <si>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</si>
  <si>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</si>
  <si>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</si>
  <si>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</si>
  <si>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</si>
  <si>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</si>
  <si>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</si>
  <si>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</si>
  <si>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</si>
  <si>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</si>
  <si>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</si>
  <si>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</si>
  <si>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</si>
  <si>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</si>
  <si>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</si>
  <si>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</si>
  <si>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</si>
  <si>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</si>
  <si>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</si>
  <si>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</si>
  <si>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</si>
  <si>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</si>
  <si>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</si>
  <si>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</si>
  <si>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</si>
  <si>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</si>
  <si>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</si>
  <si>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</si>
  <si>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</si>
  <si>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</si>
  <si>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</si>
  <si>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</si>
  <si>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</si>
  <si>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</si>
  <si>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</si>
  <si>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</si>
  <si>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</si>
  <si>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</si>
  <si>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</si>
  <si>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</si>
  <si>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</si>
  <si>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</si>
  <si>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</si>
  <si>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</si>
  <si>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</si>
  <si>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</si>
  <si>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</si>
  <si>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</si>
  <si>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</si>
  <si>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</si>
  <si>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</si>
  <si>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</si>
  <si>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</si>
  <si>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</si>
  <si>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</si>
  <si>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</si>
  <si>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</si>
  <si>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</si>
  <si>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</si>
  <si>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</si>
  <si>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</si>
  <si>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</si>
  <si>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</si>
  <si>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</si>
  <si>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</si>
  <si>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</si>
  <si>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</si>
  <si>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</si>
  <si>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</si>
  <si>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</si>
  <si>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</si>
  <si>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</si>
  <si>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</si>
  <si>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</si>
  <si>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</si>
  <si>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</si>
  <si>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</si>
  <si>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</si>
  <si>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</si>
  <si>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</si>
  <si>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</si>
  <si>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</si>
  <si>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</si>
  <si>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</si>
  <si>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</si>
  <si>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</si>
  <si>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</si>
  <si>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</si>
  <si>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</si>
  <si>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</si>
  <si>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</si>
  <si>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</si>
  <si>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</si>
  <si>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</si>
  <si>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</si>
  <si>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</si>
  <si>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</si>
  <si>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</si>
  <si>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</si>
  <si>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</si>
  <si>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</si>
  <si>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</si>
  <si>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</si>
  <si>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</si>
  <si>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</si>
  <si>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</si>
  <si>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</si>
  <si>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</si>
  <si>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</si>
  <si>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</si>
  <si>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</si>
  <si>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</si>
  <si>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</si>
  <si>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</si>
  <si>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</si>
  <si>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</si>
  <si>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</si>
  <si>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</si>
  <si>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</si>
  <si>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</si>
  <si>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</si>
  <si>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</si>
  <si>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</si>
  <si>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</si>
  <si>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</si>
  <si>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</si>
  <si>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</si>
  <si>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</si>
  <si>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</si>
  <si>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</si>
  <si>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</si>
  <si>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</si>
  <si>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</si>
  <si>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</si>
  <si>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</si>
  <si>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</si>
  <si>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</si>
  <si>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</si>
  <si>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</si>
  <si>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</si>
  <si>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</si>
  <si>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</si>
  <si>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</si>
  <si>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</si>
  <si>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</si>
  <si>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</si>
  <si>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</si>
  <si>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</si>
  <si>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</si>
  <si>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</si>
  <si>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</si>
  <si>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</si>
  <si>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</si>
  <si>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</si>
  <si>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</si>
  <si>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</si>
  <si>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</si>
  <si>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</si>
  <si>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</si>
  <si>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</si>
  <si>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</si>
  <si>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</si>
  <si>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</si>
  <si>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</si>
  <si>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</si>
  <si>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</si>
  <si>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</si>
  <si>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</si>
  <si>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</si>
  <si>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</si>
  <si>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</si>
  <si>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</si>
  <si>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</si>
  <si>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</si>
  <si>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</si>
  <si>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</si>
  <si>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</si>
  <si>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</si>
  <si>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</si>
  <si>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</si>
  <si>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</si>
  <si>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</si>
  <si>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</si>
  <si>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</si>
  <si>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</si>
  <si>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</si>
  <si>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</si>
  <si>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</si>
  <si>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</si>
  <si>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</si>
  <si>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</si>
  <si>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</si>
  <si>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</si>
  <si>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</si>
  <si>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</si>
  <si>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</si>
  <si>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</si>
  <si>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</si>
  <si>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</si>
  <si>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</si>
  <si>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</si>
  <si>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</si>
  <si>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</si>
  <si>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</si>
  <si>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</si>
  <si>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</si>
  <si>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</si>
  <si>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</si>
  <si>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</si>
  <si>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</si>
  <si>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</si>
  <si>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</si>
  <si>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</si>
  <si>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</si>
  <si>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</si>
  <si>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</si>
  <si>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</si>
  <si>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</si>
  <si>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</si>
  <si>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</si>
  <si>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</si>
  <si>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</si>
  <si>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</si>
  <si>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</si>
  <si>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</si>
  <si>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</si>
  <si>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</si>
  <si>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</si>
  <si>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</si>
  <si>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</si>
  <si>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</si>
  <si>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</si>
  <si>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</si>
  <si>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</si>
  <si>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</si>
  <si>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</si>
  <si>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</si>
  <si>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</si>
  <si>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</si>
  <si>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</si>
  <si>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</si>
  <si>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</si>
  <si>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</si>
  <si>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</si>
  <si>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</si>
  <si>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</si>
  <si>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</si>
  <si>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</si>
  <si>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</si>
  <si>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</si>
  <si>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</si>
  <si>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</si>
  <si>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</si>
  <si>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</si>
  <si>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</si>
  <si>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</si>
  <si>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</si>
  <si>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</si>
  <si>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</si>
  <si>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</si>
  <si>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</si>
  <si>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</si>
  <si>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</si>
  <si>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</si>
  <si>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</si>
  <si>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</si>
  <si>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</si>
  <si>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</si>
  <si>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</si>
  <si>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</si>
  <si>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</si>
  <si>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</si>
  <si>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</si>
  <si>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</si>
  <si>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</si>
  <si>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</si>
  <si>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</si>
  <si>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</si>
  <si>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</si>
  <si>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</si>
  <si>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</si>
  <si>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</si>
  <si>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</si>
  <si>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</si>
  <si>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</si>
  <si>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</si>
  <si>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</si>
  <si>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</si>
  <si>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</si>
  <si>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</si>
  <si>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现房</t>
  </si>
  <si>
    <t>综合项目（商业、办公）</t>
  </si>
  <si>
    <t>是</t>
  </si>
  <si>
    <t>地上</t>
  </si>
  <si>
    <t>基准户型-51706</t>
    <phoneticPr fontId="24" type="noConversion"/>
  </si>
  <si>
    <t>收益法 (元)</t>
  </si>
  <si>
    <t>押一</t>
  </si>
  <si>
    <t>钢混</t>
  </si>
  <si>
    <t>非生产用房</t>
  </si>
  <si>
    <t>否</t>
  </si>
  <si>
    <t>售价</t>
  </si>
  <si>
    <t>单套模式</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</si>
  <si>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</si>
  <si>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</si>
  <si>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</si>
  <si>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</si>
  <si>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</si>
  <si>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</si>
  <si>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</si>
  <si>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</si>
  <si>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</si>
  <si>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</si>
  <si>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</si>
  <si>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</si>
  <si>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</si>
  <si>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</si>
  <si>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</si>
  <si>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</si>
  <si>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</si>
  <si>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</si>
  <si>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</si>
  <si>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</si>
  <si>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</si>
  <si>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</si>
  <si>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</si>
  <si>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</si>
  <si>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</si>
  <si>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较好</t>
  </si>
  <si>
    <t>七通</t>
  </si>
  <si>
    <t>租售比</t>
    <phoneticPr fontId="3" type="noConversion"/>
  </si>
  <si>
    <t>楼面单价</t>
  </si>
  <si>
    <t>成本比率</t>
  </si>
  <si>
    <t>通州区兴贸三街19号院1号楼4层507办公用房</t>
    <phoneticPr fontId="6" type="noConversion"/>
  </si>
  <si>
    <t>办公</t>
    <phoneticPr fontId="7" type="noConversion"/>
  </si>
  <si>
    <t>之前评估值</t>
    <phoneticPr fontId="134" type="noConversion"/>
  </si>
  <si>
    <t>低区</t>
  </si>
  <si>
    <t>自定义容积率</t>
  </si>
  <si>
    <t>不临65条商业街</t>
  </si>
  <si>
    <t>通电</t>
  </si>
  <si>
    <t>通路</t>
  </si>
  <si>
    <t>通讯</t>
  </si>
  <si>
    <t>通上水</t>
  </si>
  <si>
    <t>通下水</t>
  </si>
  <si>
    <t>平整</t>
  </si>
  <si>
    <t>按公示增长率计算</t>
  </si>
  <si>
    <t>中心城区以外</t>
  </si>
  <si>
    <t>一般</t>
  </si>
  <si>
    <t>较差</t>
  </si>
  <si>
    <t>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</si>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</sst>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8" borderId="1" xfId="0" applyNumberFormat="1" applyFont="1" applyFill="1" applyBorder="1" applyAlignment="1" applyProtection="1">
      <alignment horizontal="center" vertical="center" shrinkToFit="1"/>
      <protection locked="0"/>
    </xf>
    <xf numFmtId="0" fontId="176"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273" fillId="21"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5514286"/>
        </a:xfrm>
        <a:prstGeom prst="rect">
          <a:avLst/>
        </a:prstGeom>
      </xdr:spPr>
    </xdr:pic>
    <xdr:clientData/>
  </xdr:twoCellAnchor>
  <xdr:twoCellAnchor editAs="oneCell">
    <xdr:from>
      <xdr:col>0</xdr:col>
      <xdr:colOff>0</xdr:colOff>
      <xdr:row>34</xdr:row>
      <xdr:rowOff>0</xdr:rowOff>
    </xdr:from>
    <xdr:to>
      <xdr:col>5</xdr:col>
      <xdr:colOff>523381</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952381" cy="5114286"/>
        </a:xfrm>
        <a:prstGeom prst="rect">
          <a:avLst/>
        </a:prstGeom>
      </xdr:spPr>
    </xdr:pic>
    <xdr:clientData/>
  </xdr:twoCellAnchor>
  <xdr:twoCellAnchor editAs="oneCell">
    <xdr:from>
      <xdr:col>5</xdr:col>
      <xdr:colOff>609600</xdr:colOff>
      <xdr:row>34</xdr:row>
      <xdr:rowOff>0</xdr:rowOff>
    </xdr:from>
    <xdr:to>
      <xdr:col>11</xdr:col>
      <xdr:colOff>485276</xdr:colOff>
      <xdr:row>63</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4038600" y="5829300"/>
          <a:ext cx="3990476" cy="5000000"/>
        </a:xfrm>
        <a:prstGeom prst="rect">
          <a:avLst/>
        </a:prstGeom>
      </xdr:spPr>
    </xdr:pic>
    <xdr:clientData/>
  </xdr:twoCellAnchor>
  <xdr:twoCellAnchor editAs="oneCell">
    <xdr:from>
      <xdr:col>11</xdr:col>
      <xdr:colOff>495300</xdr:colOff>
      <xdr:row>34</xdr:row>
      <xdr:rowOff>0</xdr:rowOff>
    </xdr:from>
    <xdr:to>
      <xdr:col>17</xdr:col>
      <xdr:colOff>485262</xdr:colOff>
      <xdr:row>63</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8039100" y="5829300"/>
          <a:ext cx="4104762" cy="5123810"/>
        </a:xfrm>
        <a:prstGeom prst="rect">
          <a:avLst/>
        </a:prstGeom>
      </xdr:spPr>
    </xdr:pic>
    <xdr:clientData/>
  </xdr:twoCellAnchor>
  <xdr:twoCellAnchor editAs="oneCell">
    <xdr:from>
      <xdr:col>0</xdr:col>
      <xdr:colOff>0</xdr:colOff>
      <xdr:row>65</xdr:row>
      <xdr:rowOff>0</xdr:rowOff>
    </xdr:from>
    <xdr:to>
      <xdr:col>5</xdr:col>
      <xdr:colOff>494810</xdr:colOff>
      <xdr:row>94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3923810" cy="5095238"/>
        </a:xfrm>
        <a:prstGeom prst="rect">
          <a:avLst/>
        </a:prstGeom>
      </xdr:spPr>
    </xdr:pic>
    <xdr:clientData/>
  </xdr:twoCellAnchor>
  <xdr:twoCellAnchor editAs="oneCell">
    <xdr:from>
      <xdr:col>6</xdr:col>
      <xdr:colOff>0</xdr:colOff>
      <xdr:row>65</xdr:row>
      <xdr:rowOff>0</xdr:rowOff>
    </xdr:from>
    <xdr:to>
      <xdr:col>11</xdr:col>
      <xdr:colOff>390048</xdr:colOff>
      <xdr:row>96</xdr:row>
      <xdr:rowOff>151717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144250"/>
          <a:ext cx="3819048" cy="5466667"/>
        </a:xfrm>
        <a:prstGeom prst="rect">
          <a:avLst/>
        </a:prstGeom>
      </xdr:spPr>
    </xdr:pic>
    <xdr:clientData/>
  </xdr:twoCellAnchor>
  <xdr:twoCellAnchor editAs="oneCell">
    <xdr:from>
      <xdr:col>12</xdr:col>
      <xdr:colOff>0</xdr:colOff>
      <xdr:row>65</xdr:row>
      <xdr:rowOff>0</xdr:rowOff>
    </xdr:from>
    <xdr:to>
      <xdr:col>18</xdr:col>
      <xdr:colOff>56629</xdr:colOff>
      <xdr:row>91</xdr:row>
      <xdr:rowOff>161348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144250"/>
          <a:ext cx="4171429" cy="4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348233</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949432" cy="4229100"/>
        </a:xfrm>
        <a:prstGeom prst="rect">
          <a:avLst/>
        </a:prstGeom>
      </xdr:spPr>
    </xdr:pic>
    <xdr:clientData/>
  </xdr:twoCellAnchor>
  <xdr:twoCellAnchor editAs="oneCell">
    <xdr:from>
      <xdr:col>0</xdr:col>
      <xdr:colOff>0</xdr:colOff>
      <xdr:row>26</xdr:row>
      <xdr:rowOff>0</xdr:rowOff>
    </xdr:from>
    <xdr:to>
      <xdr:col>14</xdr:col>
      <xdr:colOff>129381</xdr:colOff>
      <xdr:row>51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730581" cy="4295775"/>
        </a:xfrm>
        <a:prstGeom prst="rect">
          <a:avLst/>
        </a:prstGeom>
      </xdr:spPr>
    </xdr:pic>
    <xdr:clientData/>
  </xdr:twoCellAnchor>
  <xdr:twoCellAnchor editAs="oneCell">
    <xdr:from>
      <xdr:col>0</xdr:col>
      <xdr:colOff>0</xdr:colOff>
      <xdr:row>55</xdr:row>
      <xdr:rowOff>0</xdr:rowOff>
    </xdr:from>
    <xdr:to>
      <xdr:col>14</xdr:col>
      <xdr:colOff>599429</xdr:colOff>
      <xdr:row>80</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200629"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113001</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00001"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北京市通州区兴贸三街19号院1号楼4层507办公用房房地产抵押价值预评估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受贵公司委托，我公司对北京市通州区兴贸三街19号院1号楼4层507办公用房房地产抵押价值进行了预评估。</v>
      </c>
    </row>
    <row r="7" spans="1:2" s="1202" customFormat="1">
      <c r="A7" s="1200" t="s">
        <v>566</v>
      </c>
      <c r="B7" s="1201" t="str">
        <f>'预评函-1'!A7</f>
        <v>估价对象为北京市通州区兴贸三街19号院1号楼4层507办公用房房地产，为所有。根据《国有土地使用证》[]，估价对象（分摊）出让国有建设用地使用权面积为0平方米，建筑面积为109.19平方米。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109.19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2025年10月20日（评估专业人员实地查勘之日）</v>
      </c>
    </row>
    <row r="13" spans="1:2" s="1202" customFormat="1">
      <c r="A13" s="1200" t="s">
        <v>529</v>
      </c>
      <c r="B13" s="1201"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137</v>
      </c>
    </row>
    <row r="21" spans="1:2" s="1202" customFormat="1">
      <c r="A21" s="1200" t="s">
        <v>537</v>
      </c>
      <c r="B21" s="1201">
        <f ca="1">'预评函-2'!D7</f>
        <v>12526</v>
      </c>
    </row>
    <row r="22" spans="1:2" s="1202" customFormat="1">
      <c r="A22" s="1200" t="s">
        <v>538</v>
      </c>
      <c r="B22" s="1201" t="str">
        <f ca="1">'预评函-2'!D6</f>
        <v>壹佰叁拾柒万元整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137</v>
      </c>
    </row>
    <row r="31" spans="1:2" s="1202" customFormat="1">
      <c r="A31" s="1200" t="s">
        <v>576</v>
      </c>
      <c r="B31" s="1201">
        <f ca="1">'预评函-2'!D15</f>
        <v>12526</v>
      </c>
    </row>
    <row r="32" spans="1:2" s="1202" customFormat="1">
      <c r="A32" s="1200" t="s">
        <v>543</v>
      </c>
      <c r="B32" s="1201" t="str">
        <f ca="1">'预评函-2'!D14</f>
        <v>壹佰叁拾柒万元整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北京市通州区兴贸三街19号院1号楼4层507办公用房房地产</v>
      </c>
    </row>
    <row r="42" spans="1:2" s="1202" customFormat="1">
      <c r="A42" s="1200" t="s">
        <v>590</v>
      </c>
      <c r="B42" s="1201" t="str">
        <f>'预评函-3'!B2</f>
        <v>建筑面积</v>
      </c>
    </row>
    <row r="43" spans="1:2" s="1202" customFormat="1">
      <c r="A43" s="1200" t="s">
        <v>591</v>
      </c>
      <c r="B43" s="1201">
        <f>'预评函-3'!B4</f>
        <v>109.19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61</v>
      </c>
    </row>
    <row r="48" spans="1:2" s="1202" customFormat="1">
      <c r="A48" s="1200" t="s">
        <v>549</v>
      </c>
      <c r="B48" s="1201">
        <f ca="1">'预评函-3'!E4</f>
        <v>5624</v>
      </c>
    </row>
    <row r="49" spans="1:2" s="1202" customFormat="1">
      <c r="A49" s="1200" t="s">
        <v>550</v>
      </c>
      <c r="B49" s="1201" t="str">
        <f ca="1">'预评函-3'!D5</f>
        <v>陆拾壹万元整</v>
      </c>
    </row>
    <row r="50" spans="1:2" s="1202" customFormat="1">
      <c r="A50" s="1200" t="s">
        <v>574</v>
      </c>
      <c r="B50" s="1201" t="str">
        <f>'预评函-3'!F2</f>
        <v>在建建筑物价值</v>
      </c>
    </row>
    <row r="51" spans="1:2" s="1202" customFormat="1">
      <c r="A51" s="1200" t="s">
        <v>551</v>
      </c>
      <c r="B51" s="1201">
        <f ca="1">'预评函-3'!F4</f>
        <v>75</v>
      </c>
    </row>
    <row r="52" spans="1:2" s="1202" customFormat="1">
      <c r="A52" s="1200" t="s">
        <v>552</v>
      </c>
      <c r="B52" s="1201">
        <f ca="1">'预评函-3'!G4</f>
        <v>6902</v>
      </c>
    </row>
    <row r="53" spans="1:2" s="1202" customFormat="1">
      <c r="A53" s="1200" t="s">
        <v>580</v>
      </c>
      <c r="B53" s="1201" t="str">
        <f ca="1">'预评函-3'!F5</f>
        <v>柒拾伍万元整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29" t="s">
        <v>2579</v>
      </c>
      <c r="J2" s="3529"/>
      <c r="K2" s="3529"/>
      <c r="L2" s="3529"/>
      <c r="M2" s="3529"/>
      <c r="N2" s="3529"/>
      <c r="O2" s="3529"/>
      <c r="P2" s="3529"/>
      <c r="Q2" s="3529"/>
      <c r="R2" s="3529"/>
    </row>
    <row r="3" spans="1:18">
      <c r="A3" s="3018" t="s">
        <v>2500</v>
      </c>
      <c r="B3" s="3019">
        <f>项目基本情况!D3</f>
        <v>45950</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1.1599999999999999</v>
      </c>
      <c r="D5" s="3023">
        <f>IF(ISERROR(ROUND(POWER(1+E5,A5-C5)*(POWER(1+E5,C5)-1)/(POWER(1+E5,A5)-1),3)),0,ROUND(POWER(1+E5,A5-C5)*(POWER(1+E5,C5)-1)/(POWER(1+E5,A5)-1),4))</f>
        <v>5.62E-2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11.17</v>
      </c>
      <c r="D6" s="3023">
        <f>IF(ISERROR(ROUND(POWER(1+E6,A6-C6)*(POWER(1+E6,C6)-1)/(POWER(1+E6,A6)-1),3)),0,ROUND(POWER(1+E6,A6-C6)*(POWER(1+E6,C6)-1)/(POWER(1+E6,A6)-1),4))</f>
        <v>0.4128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31.18</v>
      </c>
      <c r="D7" s="3023">
        <f>IF(ISERROR(ROUND(POWER(1+E7,A7-C7)*(POWER(1+E7,C7)-1)/(POWER(1+E7,A7)-1),3)),0,ROUND(POWER(1+E7,A7-C7)*(POWER(1+E7,C7)-1)/(POWER(1+E7,A7)-1),4))</f>
        <v>0.754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0" t="str">
        <f>IF(B10="北京市","北京市",C10)&amp;F10&amp;IF(结果表!G1="在建","出让国有建设用地使用权及在建建筑物",IF(结果表!G1="土地","出让国有建设用地使用权",))&amp;B9&amp;"预评估"</f>
        <v>北京市通州区兴贸三街19号院1号楼4层507办公用房房地产抵押价值预评估</v>
      </c>
      <c r="C1" s="3531"/>
      <c r="D1" s="3531"/>
      <c r="E1" s="3531"/>
      <c r="F1" s="3531"/>
      <c r="G1" s="3531"/>
      <c r="H1" s="3531"/>
      <c r="I1" s="353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北京市通州区兴贸三街19号院1号楼4层507办公用房房地产抵押价值</v>
      </c>
      <c r="T1" s="1744"/>
      <c r="U1" s="1744"/>
      <c r="V1" s="1744"/>
      <c r="W1" s="1744"/>
      <c r="X1" s="1744"/>
      <c r="Y1" s="1744"/>
      <c r="Z1" s="1744"/>
      <c r="AA1" s="1744"/>
      <c r="AB1" s="1744"/>
    </row>
    <row r="2" spans="1:30">
      <c r="A2" s="2366" t="s">
        <v>2168</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北京市通州区兴贸三街19号院1号楼4层507办公用房房地产</v>
      </c>
      <c r="T2" s="1744"/>
      <c r="U2" s="1744"/>
      <c r="V2" s="1744"/>
      <c r="W2" s="1744"/>
      <c r="X2" s="1744"/>
      <c r="Y2" s="1744"/>
      <c r="Z2" s="1744"/>
      <c r="AA2" s="1744"/>
      <c r="AB2" s="1744"/>
    </row>
    <row r="3" spans="1:30">
      <c r="A3" s="302" t="s">
        <v>2169</v>
      </c>
      <c r="B3" s="2372">
        <v>45950</v>
      </c>
      <c r="C3" s="2373" t="s">
        <v>2170</v>
      </c>
      <c r="D3" s="2372">
        <f>B3</f>
        <v>45950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3"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4"/>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3485" t="s">
        <v>3463</v>
      </c>
      <c r="G10" s="2665"/>
      <c r="H10" s="2666"/>
      <c r="I10" s="2667"/>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3476">
        <v>58444</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34.229999999999997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40"/>
      <c r="C16" s="3541"/>
      <c r="D16" s="3542"/>
      <c r="E16" s="2412" t="s">
        <v>2193</v>
      </c>
      <c r="F16" s="3543"/>
      <c r="G16" s="3544"/>
      <c r="H16" s="3544"/>
      <c r="I16" s="3545"/>
      <c r="J16" s="2438"/>
      <c r="K16" s="2616"/>
      <c r="L16" s="2450"/>
      <c r="M16" s="2450"/>
      <c r="N16" s="2508"/>
      <c r="O16" s="2450"/>
      <c r="P16" s="2508"/>
      <c r="Q16" s="2438"/>
      <c r="R16" s="2438"/>
    </row>
    <row r="17" spans="1:28">
      <c r="A17" s="313" t="s">
        <v>2194</v>
      </c>
      <c r="B17" s="302" t="s">
        <v>2195</v>
      </c>
      <c r="C17" s="8">
        <f>'数据-汇总表'!E3</f>
        <v>109.19</v>
      </c>
      <c r="D17" s="2321" t="s">
        <v>2196</v>
      </c>
      <c r="E17" s="3546" t="s">
        <v>2197</v>
      </c>
      <c r="F17" s="3547"/>
      <c r="G17" s="3547"/>
      <c r="H17" s="3547"/>
      <c r="I17" s="3548"/>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9" t="s">
        <v>2201</v>
      </c>
      <c r="F18" s="3550"/>
      <c r="G18" s="3550"/>
      <c r="H18" s="3550"/>
      <c r="I18" s="355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6" t="s">
        <v>2205</v>
      </c>
      <c r="C20" s="3537"/>
      <c r="D20" s="3538" t="s">
        <v>2206</v>
      </c>
      <c r="E20" s="3539"/>
      <c r="F20" s="2646" t="s">
        <v>1056</v>
      </c>
      <c r="G20" s="2663"/>
      <c r="H20" s="2663"/>
      <c r="I20" s="2663"/>
      <c r="J20" s="2438"/>
      <c r="K20" s="353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3"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4"/>
      <c r="B30" s="302" t="s">
        <v>2217</v>
      </c>
      <c r="C30" s="3555"/>
      <c r="D30" s="3556"/>
      <c r="E30" s="2663"/>
      <c r="F30" s="2663"/>
      <c r="G30" s="2663"/>
      <c r="H30" s="2663"/>
      <c r="I30" s="2663"/>
      <c r="J30" s="2438"/>
      <c r="K30" s="2615"/>
      <c r="L30" s="2612"/>
      <c r="M30" s="2612"/>
      <c r="N30" s="2438"/>
      <c r="O30" s="2449"/>
      <c r="P30" s="2438"/>
      <c r="Q30" s="2438"/>
      <c r="R30" s="2438"/>
      <c r="S30" s="2438"/>
      <c r="T30" s="2438"/>
      <c r="U30" s="2438"/>
      <c r="V30" s="2438"/>
    </row>
    <row r="31" spans="1:28">
      <c r="A31" s="3557"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2" t="s">
        <v>2227</v>
      </c>
      <c r="T34" s="2427" t="str">
        <f>NUMBERSTRING(7-K34,1)&amp;"通"</f>
        <v>七通</v>
      </c>
      <c r="U34" s="2438"/>
      <c r="V34" s="2438"/>
    </row>
    <row r="35" spans="1:30">
      <c r="A35" s="2428"/>
      <c r="B35" s="3559" t="s">
        <v>2228</v>
      </c>
      <c r="C35" s="3559"/>
      <c r="D35" s="3559"/>
      <c r="E35" s="3559"/>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2959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109.19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109.19</v>
      </c>
      <c r="H5" s="13">
        <f t="shared" ref="H5:AT5" si="0">SUM(H13:H656)</f>
        <v>109.19</v>
      </c>
      <c r="I5" s="13">
        <f t="shared" si="0"/>
        <v>109.19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109.19</v>
      </c>
      <c r="BA5" s="15">
        <f t="shared" si="1"/>
        <v>109.19</v>
      </c>
      <c r="BB5" s="15">
        <f t="shared" si="1"/>
        <v>109.19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0</v>
      </c>
      <c r="F13" s="29"/>
      <c r="G13" s="30">
        <f>H13+AC13+AT13</f>
        <v>109.19</v>
      </c>
      <c r="H13" s="17">
        <f>SUMIF(I$12:AB$12,"总值",I13:AB13)</f>
        <v>109.19</v>
      </c>
      <c r="I13" s="1625">
        <v>109.19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109.19</v>
      </c>
      <c r="BA13" s="13">
        <f>SUM(BB13:BK13)</f>
        <v>109.19</v>
      </c>
      <c r="BB13" s="13">
        <f>IF($D13="是",I13-J13,0)</f>
        <v>109.19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9" t="s">
        <v>1131</v>
      </c>
      <c r="B2" s="3569"/>
      <c r="C2" s="3569"/>
      <c r="D2" s="795"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0</v>
      </c>
      <c r="E3" s="43">
        <f>'数据-基础表'!AZ5</f>
        <v>109.19</v>
      </c>
      <c r="F3" s="2658"/>
      <c r="G3" s="1144"/>
      <c r="H3" s="1025" t="s">
        <v>1106</v>
      </c>
      <c r="I3" s="854" t="e">
        <f>ROUND('数据-基础表'!B3/'数据-基础表'!A3,2)</f>
        <v>#DIV/0!</v>
      </c>
      <c r="J3" s="2658"/>
      <c r="K3" s="2658"/>
      <c r="L3" s="2658"/>
      <c r="M3" s="2658"/>
      <c r="N3" s="2660"/>
      <c r="O3" s="2658"/>
      <c r="P3" s="2658"/>
    </row>
    <row r="4" spans="1:16" ht="15">
      <c r="A4" s="3571"/>
      <c r="B4" s="3572"/>
      <c r="C4" s="357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4" t="s">
        <v>1111</v>
      </c>
      <c r="C6" s="3574"/>
      <c r="D6" s="45">
        <f>ROUND($D$3*E6/$E$3,2)</f>
        <v>0</v>
      </c>
      <c r="E6" s="46">
        <f>E3-E5</f>
        <v>109.19</v>
      </c>
      <c r="F6" s="2658"/>
      <c r="G6" s="2652" t="s">
        <v>1112</v>
      </c>
      <c r="H6" s="1145" t="s">
        <v>1113</v>
      </c>
      <c r="I6" s="2653" t="e">
        <f>ROUND(F31/D31,2)</f>
        <v>#DIV/0!</v>
      </c>
      <c r="J6" s="2658"/>
      <c r="K6" s="2658"/>
      <c r="L6" s="2658"/>
      <c r="M6" s="2658"/>
      <c r="N6" s="2658"/>
      <c r="O6" s="2658"/>
      <c r="P6" s="2658"/>
    </row>
    <row r="7" spans="1:16" ht="15.75" thickBot="1">
      <c r="A7" s="3566"/>
      <c r="B7" s="3567"/>
      <c r="C7" s="3568"/>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109.19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109.19</v>
      </c>
      <c r="F16" s="2658"/>
      <c r="G16" s="2659"/>
      <c r="H16" s="1647" t="s">
        <v>1135</v>
      </c>
      <c r="I16" s="1648"/>
      <c r="J16" s="1138"/>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8"/>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3464</v>
      </c>
      <c r="D19" s="45">
        <f>ROUND($D$3*E19/$E$3,2)</f>
        <v>0</v>
      </c>
      <c r="E19" s="53">
        <f t="shared" ref="E19:E26" si="1">SUM(F19:G19)</f>
        <v>109.19</v>
      </c>
      <c r="F19" s="2793">
        <f>'数据-基础表'!I13</f>
        <v>109.19</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109.19</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109.19</v>
      </c>
      <c r="F27" s="1139">
        <f>IF(SUM(F19:F26)=E8,SUM(F19:F26),"地上面积有误")</f>
        <v>109.19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109.19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109.19</v>
      </c>
      <c r="F31" s="676">
        <f>F27+F30</f>
        <v>109.19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45950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58444</v>
      </c>
      <c r="F6" s="64">
        <f>SUMIF(项目基本情况!C$12:I$12,C6,项目基本情况!C$15:I$15)</f>
        <v>34.229999999999997</v>
      </c>
      <c r="G6" s="65">
        <f>IF(ISERROR(ROUND(POWER(1+H6,D6-F6)*(POWER(1+H6,F6)-1)/(POWER(1+H6,D6)-1),3)),0,ROUND(POWER(1+H6,D6-F6)*(POWER(1+H6,F6)-1)/(POWER(1+H6,D6)-1),3))</f>
        <v>0.88900000000000001</v>
      </c>
      <c r="H6" s="731">
        <v>0.05</v>
      </c>
      <c r="I6" s="731">
        <v>5.5E-2</v>
      </c>
      <c r="J6" s="66">
        <v>7.0000000000000007E-2</v>
      </c>
      <c r="K6" s="1029">
        <f>SUMIF('数据-汇总表'!C$19:C$33,A6,'数据-汇总表'!E$19:E$33)</f>
        <v>109.19</v>
      </c>
      <c r="L6" s="732">
        <v>4000</v>
      </c>
      <c r="M6" s="67">
        <f t="shared" ref="M6:M14" si="0">ROUND(K6*L6/10000,0)</f>
        <v>44</v>
      </c>
      <c r="N6" s="730">
        <f>N19</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1.7</v>
      </c>
      <c r="V6" s="70">
        <v>0.02</v>
      </c>
      <c r="W6" s="70">
        <v>0.1</v>
      </c>
      <c r="X6" s="1039"/>
      <c r="Y6" s="71">
        <f>N6</f>
        <v>0.8</v>
      </c>
      <c r="Z6" s="72"/>
      <c r="AA6" s="66"/>
      <c r="AB6" s="66"/>
      <c r="AC6" s="1039"/>
      <c r="AD6" s="73"/>
      <c r="AE6" s="1040">
        <f ca="1">IF(AN6="",0,SUMIF(INDIRECT("'"&amp;AN6&amp;"'"&amp;"!E:E"),$AE$5,INDIRECT("'"&amp;AN6&amp;"'"&amp;"!F:F")))</f>
        <v>34.229999999999997</v>
      </c>
      <c r="AF6" s="1347"/>
      <c r="AG6" s="138">
        <f>IF(AF6="",0,AE6-AF6)</f>
        <v>0</v>
      </c>
      <c r="AH6" s="74"/>
      <c r="AI6" s="76">
        <v>365</v>
      </c>
      <c r="AJ6" s="77"/>
      <c r="AK6" s="78">
        <v>3.0000000000000001E-3</v>
      </c>
      <c r="AL6" s="79">
        <v>1E-3</v>
      </c>
      <c r="AM6" s="80">
        <v>0.01</v>
      </c>
      <c r="AN6" s="1714" t="s">
        <v>3426</v>
      </c>
      <c r="AO6" s="52">
        <f ca="1">SUMIF(INDIRECT("'"&amp;AN6&amp;"'"&amp;"!A:A"),"总价",INDIRECT("'"&amp;AN6&amp;"'"&amp;"!B:B"))</f>
        <v>95.767399999999995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0.88900000000000001</v>
      </c>
      <c r="H16" s="90">
        <f>ROUND(SUMPRODUCT(H6:H13,K6:K13)/SUMPRODUCT((H6:H13&gt;0)*(K6:K13)),3)</f>
        <v>0.05</v>
      </c>
      <c r="I16" s="91"/>
      <c r="J16" s="91"/>
      <c r="K16" s="92">
        <f>SUM(K6:K15)</f>
        <v>109.19</v>
      </c>
      <c r="L16" s="93">
        <f>ROUND(M16*10000/SUM(K6:K14),0)</f>
        <v>4030</v>
      </c>
      <c r="M16" s="93">
        <f>SUM(M6:M14)</f>
        <v>44</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3484" t="s">
        <v>3460</v>
      </c>
      <c r="U18" s="2669">
        <f>U6*365/'比较法-办公'!C50</f>
        <v>4.0693861490031479E-2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2301</v>
      </c>
      <c r="D19" s="2674"/>
      <c r="E19" s="2671"/>
      <c r="F19" s="2671"/>
      <c r="G19" s="2671"/>
      <c r="H19" s="2671"/>
      <c r="I19" s="2671"/>
      <c r="J19" s="2671"/>
      <c r="K19" s="2670"/>
      <c r="L19" s="2670"/>
      <c r="M19" s="2669"/>
      <c r="N19" s="2669">
        <f>ROUND(1-(1-0%)*(2025-N18)/60,2)</f>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2303</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2.1838000000000002</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3382</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5" t="s">
        <v>2285</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G7" sqref="G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109.19</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45950</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136.77000000000001</v>
      </c>
      <c r="C5" s="2511">
        <f ca="1">IF(B5=D14,结果表!H102,ROUND(B5*10000/$B$1,0))</f>
        <v>12526</v>
      </c>
      <c r="D5" s="2511" t="e">
        <f ca="1">ROUND(B5*10000/$B$2,0)</f>
        <v>#DIV/0!</v>
      </c>
      <c r="E5" s="2684"/>
      <c r="F5" s="2685"/>
      <c r="G5" s="2685"/>
      <c r="H5" s="2686"/>
      <c r="I5" s="2686"/>
      <c r="J5" s="2686"/>
      <c r="K5" s="2686"/>
    </row>
    <row r="6" spans="1:11" ht="16.5">
      <c r="A6" s="2511" t="s">
        <v>656</v>
      </c>
      <c r="B6" s="2511">
        <f ca="1">SUM(G14:G23)</f>
        <v>136.77000000000001</v>
      </c>
      <c r="C6" s="2511">
        <f ca="1">IF(B6=G14,结果表!H108,ROUND(B6*10000/$B$1,0))</f>
        <v>12526</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3353</v>
      </c>
      <c r="D10" s="2511" t="s">
        <v>3354</v>
      </c>
      <c r="E10" s="3439"/>
      <c r="F10" s="3443" t="s">
        <v>3355</v>
      </c>
      <c r="G10" s="3440"/>
      <c r="H10" s="2686"/>
      <c r="I10" s="2686"/>
      <c r="J10" s="2686"/>
      <c r="K10" s="2686"/>
    </row>
    <row r="11" spans="1:11" ht="16.5">
      <c r="A11" s="2511" t="s">
        <v>670</v>
      </c>
      <c r="B11" s="2519"/>
      <c r="C11" s="2684"/>
      <c r="D11" s="3487">
        <f ca="1">D14*1.1</f>
        <v>150.44700000000003</v>
      </c>
      <c r="E11" s="2684"/>
      <c r="F11" s="2685"/>
      <c r="G11" s="2685"/>
      <c r="H11" s="2686"/>
      <c r="I11" s="2686"/>
      <c r="J11" s="2686"/>
      <c r="K11" s="2686"/>
    </row>
    <row r="12" spans="1:11" ht="16.5">
      <c r="A12" s="2684"/>
      <c r="B12" s="2684"/>
      <c r="C12" s="2684" t="s">
        <v>3465</v>
      </c>
      <c r="D12" s="3486">
        <f>1970989/10000</f>
        <v>197.09889999999999</v>
      </c>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109.19</v>
      </c>
      <c r="C14" s="2517"/>
      <c r="D14" s="2517">
        <f ca="1">ROUND(E14*B14/10000,2)</f>
        <v>136.77000000000001</v>
      </c>
      <c r="E14" s="2517">
        <f ca="1">结果表!G20</f>
        <v>12526</v>
      </c>
      <c r="F14" s="2517" t="e">
        <f ca="1">ROUND(D14*10000/C14,0)</f>
        <v>#DIV/0!</v>
      </c>
      <c r="G14" s="2517">
        <f ca="1">D14</f>
        <v>136.77000000000001</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4" t="str">
        <f>项目基本情况!S2</f>
        <v>北京市通州区兴贸三街19号院1号楼4层507办公用房房地产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3" t="s">
        <v>1265</v>
      </c>
      <c r="B4" s="1754" t="s">
        <v>1266</v>
      </c>
      <c r="C4" s="1755" t="s">
        <v>3482</v>
      </c>
      <c r="D4" s="1755" t="s">
        <v>3426</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6"/>
      <c r="G5" s="1756"/>
      <c r="H5" s="1756"/>
      <c r="I5" s="1372"/>
    </row>
    <row r="6" spans="1:12" ht="12.75">
      <c r="A6" s="3592"/>
      <c r="B6" s="3647"/>
      <c r="C6" s="3652"/>
      <c r="D6" s="3638"/>
      <c r="E6" s="131" t="s">
        <v>1270</v>
      </c>
      <c r="F6" s="1756"/>
      <c r="G6" s="1756"/>
      <c r="H6" s="1756"/>
      <c r="I6" s="1372"/>
    </row>
    <row r="7" spans="1:12" ht="12.75">
      <c r="A7" s="3592"/>
      <c r="B7" s="3647"/>
      <c r="C7" s="3651"/>
      <c r="D7" s="3638"/>
      <c r="E7" s="131" t="s">
        <v>1271</v>
      </c>
      <c r="F7" s="1756"/>
      <c r="G7" s="1756"/>
      <c r="H7" s="1756"/>
      <c r="I7" s="1372"/>
    </row>
    <row r="8" spans="1:12" ht="12.75">
      <c r="A8" s="3592" t="s">
        <v>1272</v>
      </c>
      <c r="B8" s="3647">
        <v>15</v>
      </c>
      <c r="C8" s="3650"/>
      <c r="D8" s="3638"/>
      <c r="E8" s="131" t="s">
        <v>1273</v>
      </c>
      <c r="F8" s="1756"/>
      <c r="G8" s="1756"/>
      <c r="H8" s="1756"/>
      <c r="I8" s="1372"/>
    </row>
    <row r="9" spans="1:12" ht="12.75">
      <c r="A9" s="3592"/>
      <c r="B9" s="3647"/>
      <c r="C9" s="3651"/>
      <c r="D9" s="3638"/>
      <c r="E9" s="131" t="s">
        <v>1274</v>
      </c>
      <c r="F9" s="1756"/>
      <c r="G9" s="1756"/>
      <c r="H9" s="1756"/>
      <c r="I9" s="1372"/>
    </row>
    <row r="10" spans="1:12" ht="12.75">
      <c r="A10" s="3592" t="s">
        <v>1275</v>
      </c>
      <c r="B10" s="3647">
        <v>15</v>
      </c>
      <c r="C10" s="3650"/>
      <c r="D10" s="3638"/>
      <c r="E10" s="131" t="s">
        <v>1276</v>
      </c>
      <c r="F10" s="1756"/>
      <c r="G10" s="1756"/>
      <c r="H10" s="1756"/>
      <c r="I10" s="1372"/>
    </row>
    <row r="11" spans="1:12" ht="12.75">
      <c r="A11" s="3592"/>
      <c r="B11" s="3647"/>
      <c r="C11" s="3651"/>
      <c r="D11" s="3638"/>
      <c r="E11" s="131" t="s">
        <v>1277</v>
      </c>
      <c r="F11" s="1756"/>
      <c r="G11" s="1756"/>
      <c r="H11" s="1756"/>
      <c r="I11" s="1372"/>
    </row>
    <row r="12" spans="1:12" ht="12.75">
      <c r="A12" s="3592" t="s">
        <v>1278</v>
      </c>
      <c r="B12" s="3647">
        <v>15</v>
      </c>
      <c r="C12" s="3650"/>
      <c r="D12" s="3638"/>
      <c r="E12" s="131" t="s">
        <v>1279</v>
      </c>
      <c r="F12" s="1756"/>
      <c r="G12" s="1756"/>
      <c r="H12" s="1756"/>
      <c r="I12" s="1372"/>
    </row>
    <row r="13" spans="1:12" ht="12.75">
      <c r="A13" s="3592"/>
      <c r="B13" s="3647"/>
      <c r="C13" s="3651"/>
      <c r="D13" s="3638"/>
      <c r="E13" s="131" t="s">
        <v>1280</v>
      </c>
      <c r="F13" s="1756"/>
      <c r="G13" s="1756"/>
      <c r="H13" s="1756"/>
      <c r="I13" s="1372"/>
    </row>
    <row r="14" spans="1:12" ht="12.75">
      <c r="A14" s="3592" t="s">
        <v>1281</v>
      </c>
      <c r="B14" s="3647">
        <v>30</v>
      </c>
      <c r="C14" s="3650">
        <v>6</v>
      </c>
      <c r="D14" s="3638">
        <v>4</v>
      </c>
      <c r="E14" s="131" t="s">
        <v>1282</v>
      </c>
      <c r="F14" s="1756"/>
      <c r="G14" s="1756"/>
      <c r="H14" s="1756"/>
      <c r="I14" s="1372"/>
    </row>
    <row r="15" spans="1:12" ht="12.75">
      <c r="A15" s="3592"/>
      <c r="B15" s="3647"/>
      <c r="C15" s="3652"/>
      <c r="D15" s="3638"/>
      <c r="E15" s="131" t="s">
        <v>1283</v>
      </c>
      <c r="F15" s="1756"/>
      <c r="G15" s="1756"/>
      <c r="H15" s="1756"/>
      <c r="I15" s="1372"/>
    </row>
    <row r="16" spans="1:12" ht="12.75">
      <c r="A16" s="3592"/>
      <c r="B16" s="3647"/>
      <c r="C16" s="3651"/>
      <c r="D16" s="363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9" t="s">
        <v>2130</v>
      </c>
      <c r="F18" s="3670"/>
      <c r="G18" s="3670"/>
      <c r="H18" s="3670"/>
      <c r="I18" s="3670"/>
      <c r="K18" s="302" t="s">
        <v>1289</v>
      </c>
      <c r="L18" s="302">
        <f>IF(C1="",'数据-汇总表'!E3,SUMIF(项目类型,C1,'数据-汇总表'!E17:E26)+SUMIF(项目类型,C1,'数据-汇总表'!I17:I26))</f>
        <v>109.19</v>
      </c>
      <c r="M18" s="302">
        <f>IF(C1="",'数据-汇总表'!E3,SUMIF(项目类型,C1,'数据-汇总表'!E17:E26))</f>
        <v>109.19</v>
      </c>
    </row>
    <row r="19" spans="1:36" ht="15">
      <c r="A19" s="1760" t="s">
        <v>1290</v>
      </c>
      <c r="B19" s="1761" t="s">
        <v>1291</v>
      </c>
      <c r="C19" s="134">
        <f ca="1">SUMIF(INDIRECT("'"&amp;C4&amp;"'"&amp;"!A:A"),结果表!B19,INDIRECT("'"&amp;C4&amp;"'"&amp;"!B:B"))</f>
        <v>164.10169999999999</v>
      </c>
      <c r="D19" s="135">
        <f ca="1">SUMIF(INDIRECT("'"&amp;D4&amp;"'"&amp;"!A:A"),结果表!B19,INDIRECT("'"&amp;D4&amp;"'"&amp;"!B:B"))</f>
        <v>95.767399999999995</v>
      </c>
      <c r="E19" s="1760" t="s">
        <v>1292</v>
      </c>
      <c r="F19" s="1761" t="s">
        <v>1291</v>
      </c>
      <c r="G19" s="136">
        <f ca="1">ROUND(C19*$C$18+D19*$D$18,0)</f>
        <v>137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15029</v>
      </c>
      <c r="D20" s="138">
        <f ca="1">SUMIF(INDIRECT("'"&amp;D4&amp;"'"&amp;"!A:A"),结果表!B20,INDIRECT("'"&amp;D4&amp;"'"&amp;"!B:B"))</f>
        <v>8771</v>
      </c>
      <c r="E20" s="1763"/>
      <c r="F20" s="1025" t="s">
        <v>1295</v>
      </c>
      <c r="G20" s="139">
        <f ca="1">ROUND(C20*$C$18+D20*$D$18,0)</f>
        <v>12526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0.7135444838222611</v>
      </c>
      <c r="E22" s="129"/>
      <c r="F22" s="129"/>
      <c r="G22" s="129"/>
      <c r="H22" s="129"/>
      <c r="I22" s="129"/>
    </row>
    <row r="23" spans="1:36" ht="13.5" thickBot="1">
      <c r="A23" s="1746"/>
      <c r="B23" s="1746"/>
      <c r="C23" s="1746"/>
      <c r="D23" s="1746"/>
      <c r="E23" s="129"/>
      <c r="F23" s="129"/>
      <c r="G23" s="129"/>
      <c r="H23" s="129"/>
      <c r="I23" s="129"/>
    </row>
    <row r="24" spans="1:36" ht="14.25">
      <c r="A24" s="3662" t="s">
        <v>1299</v>
      </c>
      <c r="B24" s="1761" t="s">
        <v>1291</v>
      </c>
      <c r="C24" s="136">
        <f>IF(B30=0,0,D30)</f>
        <v>0</v>
      </c>
      <c r="D24" s="1768"/>
      <c r="E24" s="129"/>
      <c r="F24" s="129"/>
      <c r="G24" s="129"/>
      <c r="H24" s="129"/>
      <c r="I24" s="129"/>
    </row>
    <row r="25" spans="1:36" ht="14.25">
      <c r="A25" s="366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12526</v>
      </c>
      <c r="D32" s="1774" t="s">
        <v>3461</v>
      </c>
      <c r="E32" s="129"/>
      <c r="F32" s="129"/>
      <c r="G32" s="129"/>
      <c r="H32" s="129"/>
      <c r="I32" s="129"/>
    </row>
    <row r="33" spans="1:15" ht="15">
      <c r="A33" s="785" t="s">
        <v>1306</v>
      </c>
      <c r="B33" s="1775"/>
      <c r="C33" s="1776" t="s">
        <v>3462</v>
      </c>
      <c r="D33" s="1777" t="s">
        <v>3426</v>
      </c>
      <c r="E33" s="1778" t="s">
        <v>1307</v>
      </c>
      <c r="F33" s="1779" t="str">
        <f>IF(D32="楼面单价","取值（单价）","取值（总价）")</f>
        <v>取值（单价）</v>
      </c>
      <c r="G33" s="129"/>
      <c r="H33" s="129"/>
      <c r="I33" s="129"/>
    </row>
    <row r="34" spans="1:15" ht="15">
      <c r="A34" s="1780"/>
      <c r="B34" s="1781" t="s">
        <v>1308</v>
      </c>
      <c r="C34" s="148">
        <f ca="1">IF(C33="自定义",F34,C32-C35)</f>
        <v>5624</v>
      </c>
      <c r="D34" s="860">
        <f ca="1">IF(C33="自定义",ROUND(C34/C32,3),IF(C33="收益比率",SUMIF(INDIRECT("'"&amp;D33&amp;"'"&amp;"!b:b"),"土地收益比率",INDIRECT("'"&amp;D33&amp;"'"&amp;"!c:c")),SUMIF(INDIRECT("'"&amp;D33&amp;"'"&amp;"!b:b"),"土地成本比率",INDIRECT("'"&amp;D33&amp;"'"&amp;"!c:c"))))</f>
        <v>0.44899999999999995</v>
      </c>
      <c r="E34" s="1782" t="s">
        <v>1309</v>
      </c>
      <c r="F34" s="1329"/>
      <c r="G34" s="129"/>
      <c r="H34" s="129"/>
      <c r="I34" s="129"/>
    </row>
    <row r="35" spans="1:15" ht="15.75" thickBot="1">
      <c r="A35" s="1783"/>
      <c r="B35" s="1784" t="s">
        <v>1310</v>
      </c>
      <c r="C35" s="1169">
        <f ca="1">IF(C33="自定义",F35,ROUND(C32*D35,0))</f>
        <v>6902</v>
      </c>
      <c r="D35" s="1170">
        <f ca="1">IF(C33="自定义",ROUND(C35/C32,3),IF(C33="收益比率",SUMIF(INDIRECT("'"&amp;D33&amp;"'"&amp;"!b:b"),"建筑物收益比率",INDIRECT("'"&amp;D33&amp;"'"&amp;"!c:c")),SUMIF(INDIRECT("'"&amp;D33&amp;"'"&amp;"!b:b"),"建筑物成本比率",INDIRECT("'"&amp;D33&amp;"'"&amp;"!c:c"))))</f>
        <v>0.55100000000000005</v>
      </c>
      <c r="E35" s="1785" t="s">
        <v>1311</v>
      </c>
      <c r="F35" s="154"/>
      <c r="G35" s="129"/>
      <c r="H35" s="129"/>
      <c r="I35" s="129"/>
    </row>
    <row r="36" spans="1:15" ht="15.75" thickBot="1">
      <c r="A36" s="3639" t="s">
        <v>1312</v>
      </c>
      <c r="B36" s="1786" t="s">
        <v>1313</v>
      </c>
      <c r="C36" s="145"/>
      <c r="D36" s="1787"/>
      <c r="E36" s="1788"/>
      <c r="F36" s="1789"/>
      <c r="G36" s="129"/>
      <c r="H36" s="129"/>
      <c r="I36" s="129"/>
    </row>
    <row r="37" spans="1:15" ht="15.75" thickBot="1">
      <c r="A37" s="3640"/>
      <c r="B37" s="1673" t="s">
        <v>1314</v>
      </c>
      <c r="C37" s="147"/>
      <c r="D37" s="1138"/>
      <c r="E37" s="1138"/>
      <c r="F37" s="1789"/>
      <c r="G37" s="129"/>
      <c r="H37" s="129"/>
      <c r="I37" s="129"/>
    </row>
    <row r="38" spans="1:15" ht="15.75" thickBot="1">
      <c r="A38" s="364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9" t="s">
        <v>1326</v>
      </c>
      <c r="B45" s="3660"/>
      <c r="C45" s="3661"/>
      <c r="D45" s="155">
        <f ca="1">ROUND(H101*F45,0)</f>
        <v>137</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5"/>
      <c r="I46" s="159"/>
      <c r="J46" s="2522">
        <v>1</v>
      </c>
      <c r="K46" s="3580" t="s">
        <v>1331</v>
      </c>
      <c r="L46" s="3580"/>
      <c r="M46" s="3581"/>
      <c r="N46" s="3581"/>
      <c r="O46" s="3581"/>
    </row>
    <row r="47" spans="1:15" ht="12" customHeight="1">
      <c r="A47" s="160" t="s">
        <v>1332</v>
      </c>
      <c r="B47" s="161"/>
      <c r="C47" s="162"/>
      <c r="D47" s="1086" t="s">
        <v>1333</v>
      </c>
      <c r="E47" s="302" t="s">
        <v>1334</v>
      </c>
      <c r="F47" s="163" t="s">
        <v>1335</v>
      </c>
      <c r="G47" s="2545" t="s">
        <v>1336</v>
      </c>
      <c r="H47" s="2546"/>
      <c r="I47" s="159"/>
      <c r="J47" s="2522">
        <v>2</v>
      </c>
      <c r="K47" s="3580" t="s">
        <v>1337</v>
      </c>
      <c r="L47" s="3580"/>
      <c r="M47" s="3582">
        <f>'数据-取费表'!B2</f>
        <v>45950</v>
      </c>
      <c r="N47" s="3582"/>
      <c r="O47" s="3582"/>
    </row>
    <row r="48" spans="1:15" ht="25.5">
      <c r="A48" s="3642" t="s">
        <v>1338</v>
      </c>
      <c r="B48" s="3643"/>
      <c r="C48" s="364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80" t="s">
        <v>1340</v>
      </c>
      <c r="L48" s="3580"/>
      <c r="M48" s="3583">
        <f ca="1">H101</f>
        <v>137</v>
      </c>
      <c r="N48" s="3583"/>
      <c r="O48" s="3583"/>
    </row>
    <row r="49" spans="1:35" ht="25.5" customHeight="1">
      <c r="A49" s="2332" t="s">
        <v>1341</v>
      </c>
      <c r="B49" s="3628" t="s">
        <v>1342</v>
      </c>
      <c r="C49" s="3628"/>
      <c r="D49" s="1589">
        <v>0</v>
      </c>
      <c r="E49" s="324" t="s">
        <v>1343</v>
      </c>
      <c r="F49" s="2423" t="s">
        <v>28</v>
      </c>
      <c r="G49" s="3611"/>
      <c r="H49" s="2309" t="s">
        <v>2133</v>
      </c>
      <c r="I49" s="2310"/>
      <c r="J49" s="2522">
        <v>4</v>
      </c>
      <c r="K49" s="3580" t="str">
        <f>IF(项目基本情况!E8="房地产抵押价值","房地产抵押价值","抵押担保权已注销时的房地产抵押价值")</f>
        <v>房地产抵押价值</v>
      </c>
      <c r="L49" s="3580"/>
      <c r="M49" s="3583">
        <f ca="1">IF(项目基本情况!E8="房地产抵押价值",H107,H109)</f>
        <v>137</v>
      </c>
      <c r="N49" s="3583"/>
      <c r="O49" s="3583"/>
    </row>
    <row r="50" spans="1:35" ht="25.5" customHeight="1">
      <c r="A50" s="2550"/>
      <c r="B50" s="3628" t="s">
        <v>1344</v>
      </c>
      <c r="C50" s="3628"/>
      <c r="D50" s="2551"/>
      <c r="E50" s="332"/>
      <c r="F50" s="2423"/>
      <c r="G50" s="3612"/>
      <c r="H50" s="2311" t="s">
        <v>2134</v>
      </c>
      <c r="I50" s="2310"/>
      <c r="J50" s="3579" t="s">
        <v>1345</v>
      </c>
      <c r="K50" s="3579"/>
      <c r="L50" s="3579"/>
      <c r="M50" s="3579"/>
      <c r="N50" s="3579"/>
      <c r="O50" s="3579"/>
    </row>
    <row r="51" spans="1:35" ht="20.45" customHeight="1">
      <c r="A51" s="2552"/>
      <c r="B51" s="3628" t="s">
        <v>1346</v>
      </c>
      <c r="C51" s="3628"/>
      <c r="D51" s="1086"/>
      <c r="E51" s="327"/>
      <c r="F51" s="2423"/>
      <c r="G51" s="3613"/>
      <c r="H51" s="2311" t="s">
        <v>2135</v>
      </c>
      <c r="I51" s="2310"/>
      <c r="J51" s="2523" t="s">
        <v>1347</v>
      </c>
      <c r="K51" s="3580" t="s">
        <v>1348</v>
      </c>
      <c r="L51" s="3580"/>
      <c r="M51" s="2523" t="s">
        <v>1349</v>
      </c>
      <c r="N51" s="2523" t="s">
        <v>1350</v>
      </c>
      <c r="O51" s="2523" t="s">
        <v>1351</v>
      </c>
    </row>
    <row r="52" spans="1:35" ht="24" customHeight="1">
      <c r="A52" s="2334" t="s">
        <v>1352</v>
      </c>
      <c r="B52" s="3628" t="s">
        <v>1353</v>
      </c>
      <c r="C52" s="3628"/>
      <c r="D52" s="1086">
        <f ca="1">ROUND(D45*'数据-取费表'!B41/(1+'数据-取费表'!C42),0)</f>
        <v>7</v>
      </c>
      <c r="E52" s="2333" t="s">
        <v>1354</v>
      </c>
      <c r="F52" s="2553">
        <f>'数据-取费表'!B41</f>
        <v>5.5000000000000007E-2</v>
      </c>
      <c r="G52" s="2554"/>
      <c r="H52" s="2543"/>
      <c r="I52" s="1806"/>
      <c r="J52" s="2522">
        <v>1</v>
      </c>
      <c r="K52" s="3605" t="s">
        <v>1355</v>
      </c>
      <c r="L52" s="3605"/>
      <c r="M52" s="2524" t="b">
        <f>D48</f>
        <v>0</v>
      </c>
      <c r="N52" s="2522" t="str">
        <f>E48</f>
        <v>销售额×税（费）率</v>
      </c>
      <c r="O52" s="2525">
        <f>F48</f>
        <v>5.5000000000000007E-2</v>
      </c>
    </row>
    <row r="53" spans="1:35" ht="12" customHeight="1">
      <c r="A53" s="2334" t="s">
        <v>1356</v>
      </c>
      <c r="B53" s="3629" t="s">
        <v>2290</v>
      </c>
      <c r="C53" s="3630"/>
      <c r="D53" s="1086">
        <f ca="1">ROUND(D45*'数据-取费表'!B41/(1+'数据-取费表'!C42),0)</f>
        <v>7</v>
      </c>
      <c r="E53" s="2333" t="s">
        <v>1354</v>
      </c>
      <c r="F53" s="2553">
        <f>'数据-取费表'!B41</f>
        <v>5.5000000000000007E-2</v>
      </c>
      <c r="G53" s="2554"/>
      <c r="H53" s="2543"/>
      <c r="I53" s="1806"/>
      <c r="J53" s="2522">
        <v>2</v>
      </c>
      <c r="K53" s="3605" t="s">
        <v>1357</v>
      </c>
      <c r="L53" s="3605"/>
      <c r="M53" s="2524">
        <f t="shared" ref="M53:O54" ca="1" si="0">D55</f>
        <v>0</v>
      </c>
      <c r="N53" s="2522" t="str">
        <f t="shared" si="0"/>
        <v>销售额×税（费）率</v>
      </c>
      <c r="O53" s="2525" t="str">
        <f t="shared" si="0"/>
        <v>免征</v>
      </c>
    </row>
    <row r="54" spans="1:35" ht="12" customHeight="1">
      <c r="A54" s="2334" t="s">
        <v>1358</v>
      </c>
      <c r="B54" s="3629" t="s">
        <v>2291</v>
      </c>
      <c r="C54" s="3630"/>
      <c r="D54" s="1086">
        <f ca="1">C68</f>
        <v>7</v>
      </c>
      <c r="E54" s="327" t="s">
        <v>1359</v>
      </c>
      <c r="F54" s="2553">
        <f>'数据-取费表'!B41</f>
        <v>5.5000000000000007E-2</v>
      </c>
      <c r="G54" s="2554"/>
      <c r="H54" s="2555"/>
      <c r="I54" s="1806"/>
      <c r="J54" s="2522">
        <v>3</v>
      </c>
      <c r="K54" s="3605" t="s">
        <v>1360</v>
      </c>
      <c r="L54" s="3605"/>
      <c r="M54" s="2524">
        <f t="shared" ca="1" si="0"/>
        <v>77</v>
      </c>
      <c r="N54" s="2522" t="str">
        <f t="shared" si="0"/>
        <v>增值额×税（费）率</v>
      </c>
      <c r="O54" s="2526" t="str">
        <f t="shared" si="0"/>
        <v>免征</v>
      </c>
    </row>
    <row r="55" spans="1:35" ht="24" customHeight="1">
      <c r="A55" s="3665" t="s">
        <v>1361</v>
      </c>
      <c r="B55" s="3643"/>
      <c r="C55" s="3643"/>
      <c r="D55" s="2323">
        <f ca="1">IF(H55="个人住宅",0,ROUND(D45*I55,0))</f>
        <v>0</v>
      </c>
      <c r="E55" s="2333"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f ca="1">D59</f>
        <v>1</v>
      </c>
      <c r="N55" s="2039" t="str">
        <f>E59</f>
        <v>差额计税</v>
      </c>
      <c r="O55" s="2528">
        <f>F59</f>
        <v>0.01</v>
      </c>
    </row>
    <row r="56" spans="1:35" ht="24.75">
      <c r="A56" s="3665" t="s">
        <v>1363</v>
      </c>
      <c r="B56" s="3643"/>
      <c r="C56" s="3643"/>
      <c r="D56" s="2323">
        <f ca="1">IF(H56="个人住宅",D57,D58)</f>
        <v>77</v>
      </c>
      <c r="E56" s="2333" t="s">
        <v>1364</v>
      </c>
      <c r="F56" s="2553" t="str">
        <f>IF(H56="正常",F58,"免征")</f>
        <v>免征</v>
      </c>
      <c r="G56" s="2556" t="s">
        <v>1365</v>
      </c>
      <c r="H56" s="2557"/>
      <c r="I56" s="1807"/>
      <c r="J56" s="2522" t="str">
        <f>IF(项目基本情况!K6="上海银行",IF(J55="",4,J55+1),"")</f>
        <v/>
      </c>
      <c r="K56" s="3586" t="str">
        <f>IF(项目基本情况!K6="上海银行","其他处置费用","")</f>
        <v/>
      </c>
      <c r="L56" s="3587"/>
      <c r="M56" s="2524" t="str">
        <f>IF(项目基本情况!K6="上海银行",M69,"")</f>
        <v/>
      </c>
      <c r="N56" s="3586" t="str">
        <f>IF(项目基本情况!K6="上海银行","包含处置中涉及的律师、诉讼、拍卖、评估等费用","")</f>
        <v/>
      </c>
      <c r="O56" s="3589"/>
    </row>
    <row r="57" spans="1:35" ht="12.75">
      <c r="A57" s="2334" t="s">
        <v>1341</v>
      </c>
      <c r="B57" s="3629" t="s">
        <v>1366</v>
      </c>
      <c r="C57" s="3630"/>
      <c r="D57" s="1589">
        <v>0</v>
      </c>
      <c r="E57" s="324" t="s">
        <v>1343</v>
      </c>
      <c r="F57" s="302"/>
      <c r="G57" s="2554"/>
      <c r="H57" s="2558"/>
      <c r="I57" s="1807"/>
      <c r="J57" s="3605">
        <f>IF(AND(J55="",J56=""),4,IF(项目基本情况!K6="上海银行",结果表!J56+1,结果表!J55+1))</f>
        <v>5</v>
      </c>
      <c r="K57" s="3605" t="s">
        <v>1367</v>
      </c>
      <c r="L57" s="2529" t="s">
        <v>1368</v>
      </c>
      <c r="M57" s="2530"/>
      <c r="N57" s="2531">
        <f ca="1">SUMIF(M52:M56,"&lt;9e307")</f>
        <v>78</v>
      </c>
      <c r="O57" s="2532"/>
      <c r="P57" s="2688">
        <f ca="1">N57/M49</f>
        <v>0.56934306569343063</v>
      </c>
    </row>
    <row r="58" spans="1:35" ht="24.75">
      <c r="A58" s="2334" t="s">
        <v>1352</v>
      </c>
      <c r="B58" s="3629" t="s">
        <v>1369</v>
      </c>
      <c r="C58" s="3628"/>
      <c r="D58" s="2323">
        <f ca="1">IF(H58="转让取得",C81,C97)</f>
        <v>77</v>
      </c>
      <c r="E58" s="2333" t="s">
        <v>1364</v>
      </c>
      <c r="F58" s="302" t="s">
        <v>28</v>
      </c>
      <c r="G58" s="2554"/>
      <c r="H58" s="2557"/>
      <c r="I58" s="1807"/>
      <c r="J58" s="3605"/>
      <c r="K58" s="3605"/>
      <c r="L58" s="2529" t="s">
        <v>1370</v>
      </c>
      <c r="M58" s="2533"/>
      <c r="N58" s="2534" t="str">
        <f ca="1">NUMBERSTRING(INT(N57*10000),2)&amp;"元整"</f>
        <v>柒拾捌万元整</v>
      </c>
      <c r="O58" s="2535"/>
    </row>
    <row r="59" spans="1:35" ht="24.75" thickBot="1">
      <c r="A59" s="3609" t="s">
        <v>1371</v>
      </c>
      <c r="B59" s="3610"/>
      <c r="C59" s="3610"/>
      <c r="D59" s="2559">
        <f ca="1">IF(H59="非个人房产","——",IF(H59="个人住宅（满五唯一有凭证）",0,IF(H59="个人其他（无凭证）",ROUND(D45/(1+'数据-取费表'!C42)*F59,0),ROUND(C67*F59,0))))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7">
        <f>J57+1</f>
        <v>6</v>
      </c>
      <c r="K59" s="3605" t="s">
        <v>1372</v>
      </c>
      <c r="L59" s="2522" t="s">
        <v>1368</v>
      </c>
      <c r="M59" s="2536"/>
      <c r="N59" s="2537">
        <f ca="1">M49-N57</f>
        <v>59</v>
      </c>
      <c r="O59" s="2538"/>
    </row>
    <row r="60" spans="1:35" ht="12" customHeight="1">
      <c r="A60" s="1808"/>
      <c r="B60" s="1746"/>
      <c r="C60" s="1746"/>
      <c r="D60" s="1746"/>
      <c r="E60" s="1577"/>
      <c r="F60" s="1807"/>
      <c r="G60" s="1807"/>
      <c r="H60" s="1809"/>
      <c r="I60" s="129"/>
      <c r="J60" s="3608"/>
      <c r="K60" s="3605"/>
      <c r="L60" s="2529" t="s">
        <v>1370</v>
      </c>
      <c r="M60" s="2533"/>
      <c r="N60" s="2534" t="str">
        <f ca="1">NUMBERSTRING(INT(N59*10000),2)&amp;"元整"</f>
        <v>伍拾玖万元整</v>
      </c>
      <c r="O60" s="2535"/>
    </row>
    <row r="61" spans="1:35" ht="13.5" thickBot="1">
      <c r="A61" s="3664" t="s">
        <v>1373</v>
      </c>
      <c r="B61" s="3664"/>
      <c r="C61" s="3664"/>
      <c r="D61" s="3664"/>
      <c r="E61" s="3664"/>
      <c r="F61" s="1807"/>
      <c r="G61" s="1807"/>
      <c r="H61" s="1809"/>
      <c r="I61" s="129"/>
      <c r="J61" s="2522">
        <f>J59+1</f>
        <v>7</v>
      </c>
      <c r="K61" s="3605" t="s">
        <v>1374</v>
      </c>
      <c r="L61" s="3605"/>
      <c r="M61" s="2539"/>
      <c r="N61" s="2540">
        <f ca="1">ROUND(N59*10000/'数据-汇总表'!E3,0)</f>
        <v>5403</v>
      </c>
      <c r="O61" s="2541"/>
    </row>
    <row r="62" spans="1:35" ht="12.75">
      <c r="A62" s="3624" t="s">
        <v>1375</v>
      </c>
      <c r="B62" s="3625"/>
      <c r="C62" s="2020"/>
      <c r="D62" s="2020" t="s">
        <v>1376</v>
      </c>
      <c r="E62" s="166" t="s">
        <v>1377</v>
      </c>
      <c r="F62" s="1807"/>
      <c r="G62" s="1807"/>
      <c r="H62" s="1809"/>
      <c r="I62" s="129"/>
    </row>
    <row r="63" spans="1:35" ht="12.75">
      <c r="A63" s="173" t="s">
        <v>330</v>
      </c>
      <c r="B63" s="167" t="s">
        <v>1378</v>
      </c>
      <c r="C63" s="2563">
        <f ca="1">ROUND((C64+C65)/(1+'数据-取费表'!C42),0)</f>
        <v>130</v>
      </c>
      <c r="D63" s="167"/>
      <c r="E63" s="168"/>
      <c r="F63" s="1807"/>
      <c r="G63" s="1807"/>
      <c r="H63" s="1809"/>
      <c r="I63" s="129"/>
      <c r="J63" s="3588" t="s">
        <v>1379</v>
      </c>
      <c r="K63" s="1331" t="s">
        <v>1380</v>
      </c>
      <c r="L63" s="1331">
        <f ca="1">IF(M49&gt;10000,M49*0.5%,IF(AND(M49&gt;1000,M49&lt;=10000),M49*1%,IF(AND(M49&gt;100,M49&lt;=1000),M49*3%,IF(AND(M49&gt;10,M49&lt;=100),M49*5%,M49*8%))))</f>
        <v>4.1099999999999994</v>
      </c>
      <c r="M63" s="302">
        <f ca="1">ROUND(L63,1)</f>
        <v>4.0999999999999996</v>
      </c>
      <c r="N63" s="2542"/>
      <c r="Z63" s="1751"/>
      <c r="AI63" s="1752"/>
    </row>
    <row r="64" spans="1:35" ht="14.25" customHeight="1">
      <c r="A64" s="169" t="s">
        <v>325</v>
      </c>
      <c r="B64" s="170" t="s">
        <v>1381</v>
      </c>
      <c r="C64" s="2564">
        <f ca="1">D45</f>
        <v>137</v>
      </c>
      <c r="D64" s="170" t="s">
        <v>26</v>
      </c>
      <c r="E64" s="172"/>
      <c r="F64" s="1807"/>
      <c r="G64" s="1807"/>
      <c r="H64" s="1809"/>
      <c r="I64" s="129"/>
      <c r="J64" s="3588"/>
      <c r="K64" s="1331" t="s">
        <v>1382</v>
      </c>
      <c r="L64" s="1331">
        <f ca="1">IF(M49&gt;2000,M49*0.5%,IF(AND(M49&gt;1000,M49&lt;=2000),M49*0.6%,IF(AND(M49&gt;500,M49&lt;=1000),M49*0.7%,IF(AND(M49&gt;200,M49&lt;=500),M49*0.8%,IF(AND(M49&gt;100,M49&lt;=200),M49*0.9%,IF(AND(M49&gt;50,M49&lt;=100),M49*1%,IF(AND(M49&gt;20,M49&lt;=50),M49*1.5%,IF(AND(M49&gt;10,M49&lt;=20),M49*2%,IF(AND(M49&gt;1,M49&lt;=10),M49*2.5%)))))))))</f>
        <v>1.2330000000000001</v>
      </c>
      <c r="M64" s="302">
        <f t="shared" ref="M64:M65" ca="1" si="1">ROUND(L64,1)</f>
        <v>1.2</v>
      </c>
      <c r="N64" s="2543" t="s">
        <v>1383</v>
      </c>
      <c r="Z64" s="1751"/>
      <c r="AI64" s="1752"/>
    </row>
    <row r="65" spans="1:35" ht="14.25" customHeight="1">
      <c r="A65" s="169" t="s">
        <v>326</v>
      </c>
      <c r="B65" s="170" t="s">
        <v>1384</v>
      </c>
      <c r="C65" s="2565"/>
      <c r="D65" s="170"/>
      <c r="E65" s="172"/>
      <c r="F65" s="1807"/>
      <c r="G65" s="1807"/>
      <c r="H65" s="1809"/>
      <c r="I65" s="129"/>
      <c r="J65" s="3588"/>
      <c r="K65" s="1331" t="s">
        <v>1385</v>
      </c>
      <c r="L65" s="1331">
        <f ca="1">IF(M49&gt;1000,M49*0.1%,IF(AND(M49&gt;500,M49&lt;=1000),M49*0.5%,IF(AND(M49&gt;50,M49&lt;=500),M49*1%,IF(AND(M49&gt;1,M49&lt;=50),M49*1.5%))))</f>
        <v>1.37</v>
      </c>
      <c r="M65" s="302">
        <f t="shared" ca="1" si="1"/>
        <v>1.4</v>
      </c>
      <c r="N65" s="2543" t="s">
        <v>1383</v>
      </c>
      <c r="Z65" s="1751"/>
      <c r="AI65" s="1752"/>
    </row>
    <row r="66" spans="1:35" ht="14.25" customHeight="1">
      <c r="A66" s="173" t="s">
        <v>327</v>
      </c>
      <c r="B66" s="174" t="s">
        <v>1386</v>
      </c>
      <c r="C66" s="2566"/>
      <c r="D66" s="174" t="s">
        <v>26</v>
      </c>
      <c r="E66" s="1337" t="s">
        <v>671</v>
      </c>
      <c r="F66" s="1807"/>
      <c r="G66" s="1807"/>
      <c r="H66" s="1809"/>
      <c r="I66" s="129"/>
      <c r="J66" s="3588"/>
      <c r="K66" s="1331" t="s">
        <v>1387</v>
      </c>
      <c r="L66" s="1331">
        <f ca="1">M49*0.5%</f>
        <v>0.68500000000000005</v>
      </c>
      <c r="M66" s="302">
        <f ca="1">IF(L66&gt;0.5,0.5,ROUND(L66,0))</f>
        <v>0.5</v>
      </c>
      <c r="N66" s="2543" t="s">
        <v>1388</v>
      </c>
      <c r="Z66" s="1751"/>
      <c r="AI66" s="1752"/>
    </row>
    <row r="67" spans="1:35" ht="14.25" customHeight="1">
      <c r="A67" s="173" t="s">
        <v>328</v>
      </c>
      <c r="B67" s="174" t="s">
        <v>1389</v>
      </c>
      <c r="C67" s="2567">
        <f ca="1">C63-C66</f>
        <v>130</v>
      </c>
      <c r="D67" s="170" t="s">
        <v>26</v>
      </c>
      <c r="E67" s="172"/>
      <c r="F67" s="1807"/>
      <c r="G67" s="1807"/>
      <c r="H67" s="1809"/>
      <c r="I67" s="129"/>
      <c r="J67" s="3588"/>
      <c r="K67" s="1331" t="s">
        <v>1390</v>
      </c>
      <c r="L67" s="1331">
        <f ca="1">IF(M49&gt;=10000,(8.25+(M49-10000)*0.01%),IF(AND(M49&gt;=8000,M49&lt;10000),(7.85+(M49-8000)*0.02%),IF(AND(M49&gt;=5000,M49&lt;8000),(6.65+(M49-5000)*0.04%),IF(AND(M49&gt;=2000,M49&lt;5000),(4.25+(PM49-2000)*0.08%),IF(AND(M49&gt;=1000,M49&lt;2000),(2.75+(M49-1000)*0.15%),IF(AND(M49&gt;=100,M49&lt;1000),(0.5+(M49-100)*0.25%),IF(AND(M49&gt;0,M49&lt;100),M49*0.5%)))))))</f>
        <v>0.59250000000000003</v>
      </c>
      <c r="M67" s="302">
        <f ca="1">ROUND(L67*0.9,1)</f>
        <v>0.5</v>
      </c>
      <c r="N67" s="2542"/>
      <c r="Z67" s="1751"/>
      <c r="AI67" s="1752"/>
    </row>
    <row r="68" spans="1:35" ht="14.25" customHeight="1" thickBot="1">
      <c r="A68" s="176" t="s">
        <v>329</v>
      </c>
      <c r="B68" s="177" t="s">
        <v>1391</v>
      </c>
      <c r="C68" s="2568">
        <f ca="1">IF(C67&lt;=0,0,ROUND(C67*D68,0))</f>
        <v>7</v>
      </c>
      <c r="D68" s="2569">
        <f>'数据-取费表'!B41</f>
        <v>5.5000000000000007E-2</v>
      </c>
      <c r="E68" s="178"/>
      <c r="F68" s="1807"/>
      <c r="G68" s="1807"/>
      <c r="H68" s="1809"/>
      <c r="I68" s="129"/>
      <c r="J68" s="3588"/>
      <c r="K68" s="1331" t="s">
        <v>1392</v>
      </c>
      <c r="L68" s="1331">
        <f ca="1">IF(M49&gt;10000,M49*0.5%,IF(AND(M49&gt;5000,M49&lt;=10000),M49*1%,IF(AND(M49&gt;1000,M49&lt;=5000),M49*2%,IF(AND(M49&gt;200,M49&lt;=1000),M49*3%,M49*5%))))</f>
        <v>6.8500000000000005</v>
      </c>
      <c r="M68" s="302">
        <f ca="1">ROUND(L68,1)</f>
        <v>6.9</v>
      </c>
      <c r="N68" s="2542"/>
      <c r="Z68" s="1751"/>
      <c r="AI68" s="1752"/>
    </row>
    <row r="69" spans="1:35" s="1771" customFormat="1" ht="16.5" customHeight="1">
      <c r="A69" s="1810"/>
      <c r="B69" s="1811"/>
      <c r="C69" s="1812"/>
      <c r="D69" s="1813"/>
      <c r="E69" s="1814"/>
      <c r="F69" s="1577"/>
      <c r="G69" s="1577"/>
      <c r="H69" s="1576"/>
      <c r="I69" s="1746"/>
      <c r="J69" s="3588"/>
      <c r="K69" s="1331" t="s">
        <v>1393</v>
      </c>
      <c r="L69" s="1331"/>
      <c r="M69" s="302">
        <f ca="1">ROUND(SUM(M63:M68),0)</f>
        <v>15</v>
      </c>
      <c r="N69" s="2544">
        <f ca="1">M69/M49</f>
        <v>0.10948905109489052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4" t="s">
        <v>1375</v>
      </c>
      <c r="B71" s="3625"/>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130</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9" t="s">
        <v>1402</v>
      </c>
      <c r="F76" s="3628"/>
      <c r="G76" s="3628"/>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21" t="s">
        <v>1406</v>
      </c>
      <c r="F78" s="3622"/>
      <c r="G78" s="3622"/>
      <c r="H78" s="362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129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129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77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4" t="s">
        <v>1375</v>
      </c>
      <c r="B84" s="362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0" t="s">
        <v>2128</v>
      </c>
      <c r="H90" s="359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1" t="s">
        <v>1419</v>
      </c>
      <c r="F91" s="3622"/>
      <c r="G91" s="362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1" t="s">
        <v>1422</v>
      </c>
      <c r="F92" s="3622"/>
      <c r="G92" s="3622"/>
      <c r="H92" s="362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21" t="s">
        <v>1406</v>
      </c>
      <c r="F93" s="3622"/>
      <c r="G93" s="3622"/>
      <c r="H93" s="362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6" t="s">
        <v>1426</v>
      </c>
      <c r="F94" s="3667"/>
      <c r="G94" s="3667"/>
      <c r="H94" s="36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129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129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77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4" t="str">
        <f>C4</f>
        <v>成本法 (元)</v>
      </c>
      <c r="D101" s="2585" t="str">
        <f>D4</f>
        <v>收益法 (元)</v>
      </c>
      <c r="E101" s="3584" t="s">
        <v>1431</v>
      </c>
      <c r="F101" s="3585"/>
      <c r="G101" s="1826" t="s">
        <v>1432</v>
      </c>
      <c r="H101" s="2594">
        <f ca="1">H118</f>
        <v>137</v>
      </c>
      <c r="I101" s="129"/>
    </row>
    <row r="102" spans="1:35" ht="18.75" customHeight="1">
      <c r="A102" s="3616" t="s">
        <v>1433</v>
      </c>
      <c r="B102" s="2583" t="s">
        <v>1432</v>
      </c>
      <c r="C102" s="2584">
        <f ca="1">IF(D32="楼面单价",ROUND(C19,0),C19)</f>
        <v>164</v>
      </c>
      <c r="D102" s="2585">
        <f ca="1">IF(D32="楼面单价",ROUND(D19,0),D19)</f>
        <v>96</v>
      </c>
      <c r="E102" s="3584"/>
      <c r="F102" s="3585"/>
      <c r="G102" s="1826" t="s">
        <v>1434</v>
      </c>
      <c r="H102" s="2554">
        <f ca="1">I118</f>
        <v>12526</v>
      </c>
      <c r="I102" s="129"/>
    </row>
    <row r="103" spans="1:35" ht="42.75" customHeight="1">
      <c r="A103" s="3616"/>
      <c r="B103" s="2583" t="s">
        <v>1434</v>
      </c>
      <c r="C103" s="2586">
        <f ca="1">C20</f>
        <v>15029</v>
      </c>
      <c r="D103" s="2587">
        <f ca="1">D20</f>
        <v>8771</v>
      </c>
      <c r="E103" s="3577" t="s">
        <v>1435</v>
      </c>
      <c r="F103" s="3578"/>
      <c r="G103" s="1827" t="s">
        <v>1436</v>
      </c>
      <c r="H103" s="2594">
        <f>IF(D36="正常操作",H104+H105+H106,H105+H106)</f>
        <v>0</v>
      </c>
      <c r="I103" s="129"/>
    </row>
    <row r="104" spans="1:35" ht="18.75" customHeight="1">
      <c r="A104" s="3616" t="s">
        <v>1437</v>
      </c>
      <c r="B104" s="2588" t="s">
        <v>1432</v>
      </c>
      <c r="C104" s="2589">
        <f ca="1">H118</f>
        <v>137</v>
      </c>
      <c r="D104" s="2590"/>
      <c r="E104" s="1673" t="s">
        <v>1438</v>
      </c>
      <c r="F104" s="1665"/>
      <c r="G104" s="1827" t="s">
        <v>1436</v>
      </c>
      <c r="H104" s="2595">
        <f>IF(D36="同一抵押权人同一抵押物续贷",C36&amp;"（续贷，未扣减，详见特别提示）",C36)</f>
        <v>0</v>
      </c>
      <c r="I104" s="129"/>
    </row>
    <row r="105" spans="1:35" ht="18.75" customHeight="1" thickBot="1">
      <c r="A105" s="3626"/>
      <c r="B105" s="2591" t="s">
        <v>1434</v>
      </c>
      <c r="C105" s="2592">
        <f ca="1">I118</f>
        <v>12526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7" t="str">
        <f>IF(项目基本情况!E8="已注销","——","3.房地产抵押价值")</f>
        <v>3.房地产抵押价值</v>
      </c>
      <c r="F107" s="3585"/>
      <c r="G107" s="1826" t="s">
        <v>1432</v>
      </c>
      <c r="H107" s="2594">
        <f ca="1">IF(E107="——","——",H101-H103)</f>
        <v>137</v>
      </c>
      <c r="I107" s="129"/>
    </row>
    <row r="108" spans="1:35" ht="18.75" customHeight="1">
      <c r="A108" s="129"/>
      <c r="B108" s="129"/>
      <c r="C108" s="129"/>
      <c r="D108" s="129"/>
      <c r="E108" s="3617"/>
      <c r="F108" s="3585"/>
      <c r="G108" s="1826" t="s">
        <v>1434</v>
      </c>
      <c r="H108" s="2554">
        <f ca="1">IF(H107=H101,H102,ROUND(H107*10000/'数据-汇总表'!E3,0))</f>
        <v>12526</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617"/>
      <c r="F110" s="3585"/>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627" t="s">
        <v>1440</v>
      </c>
      <c r="F113" s="3627"/>
      <c r="G113" s="3627"/>
      <c r="H113" s="3627"/>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北京市通州区兴贸三街19号院1号楼4层507办公用房房地产</v>
      </c>
      <c r="B118" s="2328">
        <f>M18</f>
        <v>109.19</v>
      </c>
      <c r="C118" s="2328">
        <f>M19</f>
        <v>0</v>
      </c>
      <c r="D118" s="2328">
        <f ca="1">ROUND(IF(D32="总价",C34,E118*B118/10000),0)</f>
        <v>61</v>
      </c>
      <c r="E118" s="2328">
        <f ca="1">ROUND(IF(C33="自定义",IF(D32="楼面单价",C34,D118*10000/B118),I118-G118),0)</f>
        <v>5624</v>
      </c>
      <c r="F118" s="2328">
        <f ca="1">ROUND(IF(D32="总价",C35,G118*B118/10000),0)</f>
        <v>75</v>
      </c>
      <c r="G118" s="2328">
        <f ca="1">ROUND(IF(D32="楼面单价",C35,F118*10000/B118),0)</f>
        <v>6902</v>
      </c>
      <c r="H118" s="2328">
        <f ca="1">ROUND(IF(D32="总价",C32,I118*B118/10000),0)</f>
        <v>137</v>
      </c>
      <c r="I118" s="2328">
        <f ca="1">ROUND(IF(D32="楼面单价",C32,H118*10000/B118),0)</f>
        <v>12526</v>
      </c>
    </row>
    <row r="119" spans="1:27" ht="18.75" customHeight="1">
      <c r="A119" s="3592" t="s">
        <v>1452</v>
      </c>
      <c r="B119" s="3592"/>
      <c r="C119" s="3592"/>
      <c r="D119" s="3598" t="str">
        <f ca="1">NUMBERSTRING(INT(D118*10000),2)&amp;"元整"</f>
        <v>陆拾壹万元整</v>
      </c>
      <c r="E119" s="3599"/>
      <c r="F119" s="3598" t="str">
        <f ca="1">NUMBERSTRING(INT(F118*10000),2)&amp;"元整"</f>
        <v>柒拾伍万元整</v>
      </c>
      <c r="G119" s="3599"/>
      <c r="H119" s="3598" t="str">
        <f ca="1">NUMBERSTRING(INT(H118*10000),2)&amp;"元整"</f>
        <v>壹佰叁拾柒万元整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600"/>
      <c r="C121" s="3599"/>
      <c r="D121" s="3598" t="str">
        <f>IF(D120=0,"零元整",NUMBERSTRING(INT(D120*10000),2)&amp;"元整")</f>
        <v>零元整</v>
      </c>
      <c r="E121" s="3600"/>
      <c r="F121" s="3600"/>
      <c r="G121" s="3600"/>
      <c r="H121" s="3600"/>
      <c r="I121" s="3599"/>
      <c r="AA121" s="724"/>
    </row>
    <row r="122" spans="1:27" ht="18.75" customHeight="1">
      <c r="A122" s="3604" t="str">
        <f>IF(项目基本情况!B9="房地产市场价值","",MID(E107,3,LEN(E107)-2))</f>
        <v>房地产抵押价值</v>
      </c>
      <c r="B122" s="3604"/>
      <c r="C122" s="3604"/>
      <c r="D122" s="3593">
        <f ca="1">H107</f>
        <v>137</v>
      </c>
      <c r="E122" s="3594"/>
      <c r="F122" s="3594"/>
      <c r="G122" s="3594"/>
      <c r="H122" s="3594"/>
      <c r="I122" s="3595"/>
      <c r="AA122" s="724"/>
    </row>
    <row r="123" spans="1:27" ht="18.75" customHeight="1">
      <c r="A123" s="3592" t="s">
        <v>1452</v>
      </c>
      <c r="B123" s="3592"/>
      <c r="C123" s="3592"/>
      <c r="D123" s="3598" t="str">
        <f ca="1">NUMBERSTRING(INT(D122*10000),2)&amp;"元整"</f>
        <v>壹佰叁拾柒万元整</v>
      </c>
      <c r="E123" s="3600"/>
      <c r="F123" s="3600"/>
      <c r="G123" s="3600"/>
      <c r="H123" s="3600"/>
      <c r="I123" s="3599"/>
      <c r="AA123" s="724"/>
    </row>
    <row r="124" spans="1:27" ht="18.75" customHeight="1">
      <c r="A124" s="3604" t="str">
        <f>IF(项目基本情况!B9="房地产市场价值","",MID(E109,3,LEN(E109)-2))</f>
        <v/>
      </c>
      <c r="B124" s="3604"/>
      <c r="C124" s="3604"/>
      <c r="D124" s="3593" t="str">
        <f>H109</f>
        <v>——</v>
      </c>
      <c r="E124" s="3594"/>
      <c r="F124" s="3594"/>
      <c r="G124" s="3594"/>
      <c r="H124" s="3594"/>
      <c r="I124" s="3595"/>
      <c r="AA124" s="724"/>
    </row>
    <row r="125" spans="1:27" ht="18.75" customHeight="1">
      <c r="A125" s="3592" t="s">
        <v>1452</v>
      </c>
      <c r="B125" s="3592"/>
      <c r="C125" s="3592"/>
      <c r="D125" s="3598" t="e">
        <f>NUMBERSTRING(INT(D124*10000),2)&amp;"元整"</f>
        <v>#VALUE!</v>
      </c>
      <c r="E125" s="3600"/>
      <c r="F125" s="3600"/>
      <c r="G125" s="3600"/>
      <c r="H125" s="3600"/>
      <c r="I125" s="3599"/>
      <c r="AA125" s="724"/>
    </row>
    <row r="126" spans="1:27" ht="18.75" customHeight="1">
      <c r="A126" s="3604" t="str">
        <f>IF(项目基本情况!B9="房地产市场价值","",MID(E111,3,LEN(E111)-2))</f>
        <v/>
      </c>
      <c r="B126" s="3604"/>
      <c r="C126" s="3604"/>
      <c r="D126" s="3593" t="str">
        <f>H111</f>
        <v>——</v>
      </c>
      <c r="E126" s="3594"/>
      <c r="F126" s="3594"/>
      <c r="G126" s="3594"/>
      <c r="H126" s="3594"/>
      <c r="I126" s="3595"/>
      <c r="AA126" s="724"/>
    </row>
    <row r="127" spans="1:27" ht="18.75" customHeight="1">
      <c r="A127" s="3592" t="s">
        <v>1452</v>
      </c>
      <c r="B127" s="3592"/>
      <c r="C127" s="3592"/>
      <c r="D127" s="3598" t="e">
        <f>NUMBERSTRING(INT(D126*10000),2)&amp;"元整"</f>
        <v>#VALUE!</v>
      </c>
      <c r="E127" s="3600"/>
      <c r="F127" s="3600"/>
      <c r="G127" s="3600"/>
      <c r="H127" s="3600"/>
      <c r="I127" s="3599"/>
      <c r="AA127" s="724"/>
    </row>
    <row r="128" spans="1:27" ht="21.75" customHeight="1">
      <c r="A128" s="3601" t="s">
        <v>1453</v>
      </c>
      <c r="B128" s="3601"/>
      <c r="C128" s="3601"/>
      <c r="D128" s="3601"/>
      <c r="E128" s="3601"/>
      <c r="F128" s="3601"/>
      <c r="G128" s="3601"/>
      <c r="H128" s="3601"/>
      <c r="I128" s="360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5312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2.1838000000000002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2.1838000000000002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109.19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109.19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109.19</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71" t="s">
        <v>1544</v>
      </c>
    </row>
    <row r="43" spans="1:7" ht="13.5" customHeight="1">
      <c r="A43" s="779" t="s">
        <v>347</v>
      </c>
      <c r="B43" s="215" t="s">
        <v>1545</v>
      </c>
      <c r="C43" s="238">
        <f ca="1">ROUND(IF('数据-取费表'!B22&lt;=1,C39*F22*'数据-取费表'!B21/2,C39*(POWER((1+F22),'数据-取费表'!B21/2)-1)),0)</f>
        <v>0</v>
      </c>
      <c r="D43" s="238"/>
      <c r="E43" s="238"/>
      <c r="F43" s="239"/>
      <c r="G43" s="3672"/>
    </row>
    <row r="44" spans="1:7" ht="13.5" customHeight="1">
      <c r="A44" s="779"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52</v>
      </c>
      <c r="D51" s="232"/>
      <c r="E51" s="232"/>
      <c r="F51" s="264"/>
      <c r="G51" s="234" t="s">
        <v>1560</v>
      </c>
    </row>
    <row r="52" spans="1:7" s="208" customFormat="1" ht="16.5" thickBot="1">
      <c r="A52" s="265" t="s">
        <v>1561</v>
      </c>
      <c r="B52" s="266"/>
      <c r="C52" s="267">
        <f ca="1">C31+C51</f>
        <v>58</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8" t="str">
        <f>项目基本情况!B1</f>
        <v>北京市通州区兴贸三街19号院1号楼4层507办公用房房地产抵押价值预评估</v>
      </c>
      <c r="C37" s="3488"/>
      <c r="D37" s="3488"/>
      <c r="E37" s="3488"/>
      <c r="F37" s="3488"/>
      <c r="G37" s="3488"/>
      <c r="H37" s="3488"/>
      <c r="I37" s="348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164.10169999999999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15029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832771.33</v>
      </c>
      <c r="D5" s="211" t="s">
        <v>1469</v>
      </c>
      <c r="E5" s="212" t="s">
        <v>1470</v>
      </c>
      <c r="F5" s="212" t="s">
        <v>1471</v>
      </c>
      <c r="G5" s="213"/>
    </row>
    <row r="6" spans="1:8" s="214" customFormat="1" ht="13.5" customHeight="1">
      <c r="A6" s="777" t="s">
        <v>1472</v>
      </c>
      <c r="B6" s="215" t="s">
        <v>1473</v>
      </c>
      <c r="C6" s="216">
        <f>基准地价修正!C33*基准地价修正!D33</f>
        <v>786932.33</v>
      </c>
      <c r="D6" s="217"/>
      <c r="E6" s="218"/>
      <c r="F6" s="218"/>
      <c r="G6" s="219"/>
    </row>
    <row r="7" spans="1:8" s="214" customFormat="1" ht="13.5" customHeight="1">
      <c r="A7" s="777" t="s">
        <v>1474</v>
      </c>
      <c r="B7" s="215" t="s">
        <v>1475</v>
      </c>
      <c r="C7" s="220">
        <f>ROUND(C6*F7,0)</f>
        <v>24001</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21838</v>
      </c>
      <c r="D8" s="222"/>
      <c r="E8" s="220"/>
      <c r="F8" s="221"/>
      <c r="G8" s="1855" t="s">
        <v>3480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21838</v>
      </c>
      <c r="D10" s="844">
        <f ca="1">IF(B1="",'数据-汇总表'!E6,IF(INDIRECT("'数据-取费表'!c"&amp;$G$1)="住宅",INDIRECT("'数据-取费表'!s"&amp;$G$1),INDIRECT("'数据-取费表'!k"&amp;$G$1)+INDIRECT("'数据-取费表'!s"&amp;$G$1)))</f>
        <v>109.19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109.19</v>
      </c>
      <c r="E19" s="211">
        <f>'数据-取费表'!B31</f>
        <v>200</v>
      </c>
      <c r="F19" s="231"/>
      <c r="G19" s="1855" t="s">
        <v>3481</v>
      </c>
    </row>
    <row r="20" spans="1:7" s="214" customFormat="1" ht="13.5" customHeight="1">
      <c r="A20" s="255" t="s">
        <v>1574</v>
      </c>
      <c r="B20" s="210" t="s">
        <v>1575</v>
      </c>
      <c r="C20" s="232">
        <f ca="1">ROUND((C5+C19)*F20,0)</f>
        <v>24983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53729</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52947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782</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128663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128663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1125699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489171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436760</v>
      </c>
      <c r="D34" s="217"/>
      <c r="E34" s="220"/>
      <c r="F34" s="257"/>
      <c r="G34" s="219"/>
    </row>
    <row r="35" spans="1:7" ht="13.5" customHeight="1">
      <c r="A35" s="779" t="s">
        <v>351</v>
      </c>
      <c r="B35" s="215" t="s">
        <v>1527</v>
      </c>
      <c r="C35" s="220">
        <f ca="1">ROUND(C34*F35,0)</f>
        <v>21838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21838</v>
      </c>
      <c r="D37" s="217">
        <f ca="1">D19</f>
        <v>109.19</v>
      </c>
      <c r="E37" s="249">
        <f>'数据-取费表'!B35</f>
        <v>200</v>
      </c>
      <c r="F37" s="259"/>
      <c r="G37" s="261"/>
    </row>
    <row r="38" spans="1:7" ht="13.5" customHeight="1">
      <c r="A38" s="779" t="s">
        <v>354</v>
      </c>
      <c r="B38" s="215" t="s">
        <v>1533</v>
      </c>
      <c r="C38" s="220">
        <f ca="1">ROUND(C34*F38,0)</f>
        <v>8735</v>
      </c>
      <c r="D38" s="220"/>
      <c r="E38" s="220"/>
      <c r="F38" s="259">
        <f>'数据-取费表'!B36</f>
        <v>0.02</v>
      </c>
      <c r="G38" s="219" t="s">
        <v>1528</v>
      </c>
    </row>
    <row r="39" spans="1:7" s="214" customFormat="1" ht="13.5" customHeight="1">
      <c r="A39" s="255" t="s">
        <v>1534</v>
      </c>
      <c r="B39" s="210" t="s">
        <v>1535</v>
      </c>
      <c r="C39" s="232">
        <f ca="1">ROUND(C33*F20,0)</f>
        <v>14675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15770</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15311</v>
      </c>
      <c r="D42" s="238"/>
      <c r="E42" s="238"/>
      <c r="F42" s="239"/>
      <c r="G42" s="3671" t="s">
        <v>1591</v>
      </c>
    </row>
    <row r="43" spans="1:7" ht="13.5" customHeight="1">
      <c r="A43" s="779" t="s">
        <v>347</v>
      </c>
      <c r="B43" s="215" t="s">
        <v>1545</v>
      </c>
      <c r="C43" s="238">
        <f ca="1">ROUND(IF('数据-取费表'!B22&lt;=1,C39*F22*'数据-取费表'!B20/2,C39*(POWER((1+F22),'数据-取费表'!B20/2)-1)),0)</f>
        <v>459</v>
      </c>
      <c r="D43" s="238"/>
      <c r="E43" s="238"/>
      <c r="F43" s="239"/>
      <c r="G43" s="3672"/>
    </row>
    <row r="44" spans="1:7" ht="13.5" customHeight="1">
      <c r="A44" s="779"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75577</v>
      </c>
      <c r="D45" s="235">
        <f ca="1">C47</f>
        <v>3.0000000000000001E-3</v>
      </c>
      <c r="E45" s="236" t="s">
        <v>1539</v>
      </c>
      <c r="F45" s="246">
        <f ca="1">F27</f>
        <v>0.15</v>
      </c>
      <c r="G45" s="247" t="s">
        <v>1548</v>
      </c>
    </row>
    <row r="46" spans="1:7" s="214" customFormat="1" ht="13.5" customHeight="1">
      <c r="A46" s="779" t="s">
        <v>346</v>
      </c>
      <c r="B46" s="248" t="s">
        <v>1549</v>
      </c>
      <c r="C46" s="249">
        <f ca="1">ROUND((C33+C39)*F27,0)</f>
        <v>75577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644148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515318</v>
      </c>
      <c r="D51" s="232"/>
      <c r="E51" s="232"/>
      <c r="F51" s="264"/>
      <c r="G51" s="234" t="s">
        <v>1560</v>
      </c>
    </row>
    <row r="52" spans="1:7" s="208" customFormat="1" ht="16.5" thickBot="1">
      <c r="A52" s="265" t="s">
        <v>1561</v>
      </c>
      <c r="B52" s="266"/>
      <c r="C52" s="267">
        <f ca="1">C31+C51</f>
        <v>1641017</v>
      </c>
      <c r="D52" s="266"/>
      <c r="E52" s="266"/>
      <c r="F52" s="266"/>
      <c r="G52" s="268"/>
    </row>
    <row r="55" spans="1:7" ht="15">
      <c r="B55" s="270" t="s">
        <v>1562</v>
      </c>
      <c r="C55" s="271"/>
    </row>
    <row r="56" spans="1:7">
      <c r="B56" s="273" t="s">
        <v>802</v>
      </c>
      <c r="C56" s="275">
        <f ca="1">1-C57</f>
        <v>0.68599999999999994</v>
      </c>
    </row>
    <row r="57" spans="1:7">
      <c r="B57" s="273" t="s">
        <v>803</v>
      </c>
      <c r="C57" s="274">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109.19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109.19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-0.18380000000000019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109.19</v>
      </c>
      <c r="E20" s="21">
        <f>'数据-取费表'!B28</f>
        <v>200</v>
      </c>
      <c r="F20" s="803"/>
      <c r="G20" s="12"/>
      <c r="H20" s="808"/>
      <c r="I20" s="808"/>
      <c r="J20" s="808"/>
      <c r="K20" s="809"/>
    </row>
    <row r="21" spans="1:33" s="802" customFormat="1" ht="13.5" customHeight="1">
      <c r="A21" s="789" t="s">
        <v>357</v>
      </c>
      <c r="B21" s="812" t="s">
        <v>1628</v>
      </c>
      <c r="C21" s="813">
        <f ca="1">C16+C17+C18</f>
        <v>-0.18380000000000019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6" t="s">
        <v>694</v>
      </c>
      <c r="C6" s="1073">
        <f ca="1">ROUND(F6*F8*F7*(1-F9)/10000,0)</f>
        <v>0</v>
      </c>
      <c r="D6" s="155" t="s">
        <v>2108</v>
      </c>
      <c r="E6" s="302" t="s">
        <v>696</v>
      </c>
      <c r="F6" s="303">
        <f ca="1">INDIRECT("'数据-取费表'!u"&amp;$G$1)</f>
        <v>0</v>
      </c>
      <c r="G6" s="1383"/>
      <c r="H6" s="1068" t="s">
        <v>398</v>
      </c>
      <c r="I6" s="3676" t="s">
        <v>694</v>
      </c>
      <c r="J6" s="301">
        <f ca="1">ROUND(M6*M8*M7*(1-M9)/10000,0)</f>
        <v>0</v>
      </c>
      <c r="K6" s="155" t="s">
        <v>2107</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0</v>
      </c>
      <c r="G7" s="1383"/>
      <c r="H7" s="304"/>
      <c r="I7" s="3677"/>
      <c r="J7" s="306"/>
      <c r="K7" s="307"/>
      <c r="L7" s="302" t="s">
        <v>697</v>
      </c>
      <c r="M7" s="303">
        <f ca="1">F7</f>
        <v>0</v>
      </c>
    </row>
    <row r="8" spans="1:37" ht="18" customHeight="1">
      <c r="A8" s="304"/>
      <c r="B8" s="3677"/>
      <c r="C8" s="306"/>
      <c r="D8" s="307"/>
      <c r="E8" s="302" t="s">
        <v>698</v>
      </c>
      <c r="F8" s="303">
        <f ca="1">INDIRECT("'数据-取费表'!ai"&amp;$G$1)</f>
        <v>0</v>
      </c>
      <c r="G8" s="1383"/>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109.19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79</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Ⅶ-亦2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10825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7235</v>
      </c>
      <c r="C3" s="1998" t="s">
        <v>1941</v>
      </c>
      <c r="D3" s="1999" t="s">
        <v>1942</v>
      </c>
      <c r="E3" s="3418" t="s">
        <v>3408</v>
      </c>
      <c r="F3" s="2003" t="s">
        <v>3467</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8532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6"/>
      <c r="B4" s="3687"/>
      <c r="C4" s="3687"/>
      <c r="D4" s="3688"/>
      <c r="E4" s="3688"/>
      <c r="F4" s="3688"/>
      <c r="G4" s="3688"/>
      <c r="H4" s="3688"/>
      <c r="I4" s="3688"/>
      <c r="J4" s="368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7211</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8114</v>
      </c>
      <c r="D5" s="1338">
        <f>ROUND(C6*C17+C20,0)</f>
        <v>8114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6360</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8150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6112</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8150</v>
      </c>
      <c r="N7" s="865">
        <f>SUMPRODUCT((因素修正幅度!B190:B233=I2)*(因素修正幅度!C3:G3=E2)*(因素修正幅度!C190:G233))</f>
        <v>0.129</v>
      </c>
      <c r="O7" s="1118"/>
      <c r="P7" s="1118"/>
      <c r="Q7" s="1118"/>
      <c r="R7" s="1211">
        <v>6</v>
      </c>
      <c r="S7" s="3417"/>
      <c r="T7" s="3359">
        <f t="shared" si="0"/>
        <v>0</v>
      </c>
      <c r="U7" s="1212"/>
      <c r="V7" s="3359">
        <f t="shared" si="1"/>
        <v>0</v>
      </c>
      <c r="W7" s="1357" t="s">
        <v>1955</v>
      </c>
      <c r="X7" s="1213" t="str">
        <f>G2</f>
        <v>七级</v>
      </c>
      <c r="Y7" s="1213" t="s">
        <v>1956</v>
      </c>
      <c r="Z7" s="1214">
        <f>G3</f>
        <v>2.5</v>
      </c>
      <c r="AA7" s="1215"/>
      <c r="AB7" s="1215"/>
      <c r="AC7" s="1216"/>
      <c r="AD7" s="1217"/>
      <c r="AE7" s="1217"/>
      <c r="AF7" s="1217"/>
      <c r="AG7" s="1217"/>
      <c r="AH7" s="1217"/>
      <c r="AI7" s="1217"/>
      <c r="AJ7" s="1218"/>
    </row>
    <row r="8" spans="1:36" ht="25.5">
      <c r="A8" s="3297"/>
      <c r="B8" s="170" t="s">
        <v>1957</v>
      </c>
      <c r="C8" s="2025" t="s">
        <v>3468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83" t="s">
        <v>1960</v>
      </c>
      <c r="X8" s="368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5"/>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90" t="s">
        <v>3253</v>
      </c>
      <c r="B20" s="167" t="s">
        <v>1994</v>
      </c>
      <c r="C20" s="3323">
        <f>ROUND(IF(F21="与级别开发程度一致",0,(G21-E21)/C21),0)</f>
        <v>-36</v>
      </c>
      <c r="D20" s="3339" t="s">
        <v>1998</v>
      </c>
      <c r="E20" s="3340"/>
      <c r="F20" s="3696" t="s">
        <v>1995</v>
      </c>
      <c r="G20" s="3697"/>
      <c r="H20" s="3324" t="s">
        <v>3470</v>
      </c>
      <c r="I20" s="3324" t="s">
        <v>3469</v>
      </c>
      <c r="J20" s="3325" t="s">
        <v>3471</v>
      </c>
      <c r="K20" s="2046" t="s">
        <v>3472</v>
      </c>
      <c r="L20" s="2046" t="s">
        <v>3473</v>
      </c>
      <c r="M20" s="2046" t="s">
        <v>3474</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69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3" t="s">
        <v>2002</v>
      </c>
      <c r="E23" s="760">
        <v>44197</v>
      </c>
      <c r="F23" s="2053" t="s">
        <v>2003</v>
      </c>
      <c r="G23" s="761">
        <f>'数据-取费表'!B2</f>
        <v>45950</v>
      </c>
      <c r="H23" s="3341" t="s">
        <v>3475</v>
      </c>
      <c r="I23" s="3342" t="str">
        <f>IF(H23="季度增幅（自定义）",SUMIF(N25:N28,E2,O25:O28),"")</f>
        <v/>
      </c>
      <c r="J23" s="3444" t="s">
        <v>3476</v>
      </c>
      <c r="K23" s="1124"/>
      <c r="L23" s="2054" t="s">
        <v>2004</v>
      </c>
      <c r="M23" s="1327">
        <f>ROUND(SUMIF(地价!B2:G2,E2,地价!B16:G16),0)</f>
        <v>350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0.90200000000000002</v>
      </c>
      <c r="D24" s="2059" t="s">
        <v>2007</v>
      </c>
      <c r="E24" s="1334">
        <f>存贷款利率!E28/100</f>
        <v>4.3499999999999997E-2</v>
      </c>
      <c r="F24" s="2059" t="s">
        <v>1999</v>
      </c>
      <c r="G24" s="767">
        <f>SUMIF(M30:Q30,E2,M33:Q33)</f>
        <v>5.5E-2</v>
      </c>
      <c r="H24" s="2059" t="s">
        <v>2008</v>
      </c>
      <c r="I24" s="768">
        <f>SUMIF('数据-取费表'!C6:C15,E2,'数据-取费表'!F6:F15)/COUNTIF('数据-取费表'!C6:C15,E2)</f>
        <v>34.229999999999997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1.0024999999999999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79</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7207</v>
      </c>
      <c r="D33" s="2097">
        <f>'数据-汇总表'!F19</f>
        <v>109.19</v>
      </c>
      <c r="E33" s="772">
        <f>ROUND(C33*D33/10000,0)</f>
        <v>79</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1802</v>
      </c>
      <c r="D34" s="2102"/>
      <c r="E34" s="772">
        <f>ROUND(IF(B25="楼层修正",SUM(V2:V16)*M40,C34*D34/10000),0)</f>
        <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4"/>
      <c r="B37" s="2112" t="s">
        <v>2036</v>
      </c>
      <c r="C37" s="175">
        <f>ROUND(D5*C22*C23*C24*C28*F37,0)</f>
        <v>4324</v>
      </c>
      <c r="D37" s="2097"/>
      <c r="E37" s="171">
        <f>ROUND(C37*D37/10000,0)</f>
        <v>0</v>
      </c>
      <c r="F37" s="171">
        <f>SUMIF(修正!A59:A70,G2,修正!B59:B70)</f>
        <v>0.6</v>
      </c>
      <c r="G37" s="171">
        <f>ROUND(IF(E2="工业",C37*$M$42,C37*$M$41),0)</f>
        <v>1081</v>
      </c>
      <c r="H37" s="171">
        <f>D37</f>
        <v>0</v>
      </c>
      <c r="I37" s="171">
        <f>ROUND(G37*H37/10000,0)</f>
        <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5"/>
      <c r="B38" s="2040" t="s">
        <v>2037</v>
      </c>
      <c r="C38" s="175">
        <f>ROUND(D5*C22*C23*C24*C28*F38,0)</f>
        <v>2162</v>
      </c>
      <c r="D38" s="2097"/>
      <c r="E38" s="171">
        <f t="shared" ref="E38:E42" si="4">ROUND(C38*D38/10000,0)</f>
        <v>0</v>
      </c>
      <c r="F38" s="171">
        <f>SUMIF(修正!A59:A70,G2,修正!C59:C70)</f>
        <v>0.3</v>
      </c>
      <c r="G38" s="171">
        <f>ROUND(IF(E2="工业",C38*$M$42,C38*$M$41),0)</f>
        <v>541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5"/>
      <c r="B39" s="2040" t="s">
        <v>3256</v>
      </c>
      <c r="C39" s="175">
        <f>ROUND(D5*C22*C23*C24*C28*F39,0)</f>
        <v>1802</v>
      </c>
      <c r="D39" s="2097"/>
      <c r="E39" s="171">
        <f t="shared" si="4"/>
        <v>0</v>
      </c>
      <c r="F39" s="171">
        <f>SUMIF(修正!A59:A70,G2,修正!D59:D70)</f>
        <v>0.25</v>
      </c>
      <c r="G39" s="171">
        <f>ROUND(IF(E2="工业",C39*$M$42,C39*$M$41),0)</f>
        <v>451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1802</v>
      </c>
      <c r="D40" s="2097"/>
      <c r="E40" s="171">
        <f t="shared" si="4"/>
        <v>0</v>
      </c>
      <c r="F40" s="175">
        <f>SUMIF(修正!A59:A70,G2,修正!E59:E70)</f>
        <v>0.25</v>
      </c>
      <c r="G40" s="171">
        <f>ROUND(IF(E2="工业",C40*$M$42,C40*$M$41),0)</f>
        <v>451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1802</v>
      </c>
      <c r="D41" s="2097"/>
      <c r="E41" s="171">
        <f t="shared" si="4"/>
        <v>0</v>
      </c>
      <c r="F41" s="175">
        <f>SUMIF(修正!A59:A70,G2,修正!F59:F70)</f>
        <v>0.25</v>
      </c>
      <c r="G41" s="171">
        <f>ROUND(IF(E2="工业",C41*$M$42,C41*$M$41),0)</f>
        <v>451</v>
      </c>
      <c r="H41" s="171">
        <f t="shared" si="5"/>
        <v>0</v>
      </c>
      <c r="I41" s="171">
        <f t="shared" si="6"/>
        <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1081</v>
      </c>
      <c r="D42" s="2102"/>
      <c r="E42" s="187">
        <f t="shared" si="4"/>
        <v>0</v>
      </c>
      <c r="F42" s="766">
        <f>SUMIF(修正!A59:A70,G2,修正!G59:G70)</f>
        <v>0.15</v>
      </c>
      <c r="G42" s="187">
        <f>ROUND(IF(E2="工业",C42*$M$42,C42*$M$41),0)</f>
        <v>270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0.90200000000000002</v>
      </c>
      <c r="D44" s="171" t="s">
        <v>1999</v>
      </c>
      <c r="E44" s="2152">
        <f>G24</f>
        <v>5.5E-2</v>
      </c>
      <c r="F44" s="171" t="s">
        <v>2008</v>
      </c>
      <c r="G44" s="183">
        <f>项目基本情况!E15</f>
        <v>34.229999999999997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1.0024999999999999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3478</v>
      </c>
      <c r="D61" s="1064">
        <f t="shared" ref="D61:D69" si="12">SUMIF($J$60:$N$60,C61,J61:N61)</f>
        <v>-1.61E-2</v>
      </c>
      <c r="E61" s="743">
        <f>ROUND(SUM(D61:D69),4)</f>
        <v>2.5000000000000001E-3</v>
      </c>
      <c r="F61" s="1813">
        <f>IF(E2="办公",SUMIF(L1:L12,G2,N1:N12),"——")</f>
        <v>0.129</v>
      </c>
      <c r="G61" s="1062">
        <f>H61</f>
        <v>1.61E-2</v>
      </c>
      <c r="H61" s="1065">
        <f t="shared" ref="H61:H69" si="13">IFERROR(ROUNDDOWN($F$61*I61/2,4),"——")</f>
        <v>1.61E-2</v>
      </c>
      <c r="I61" s="3365">
        <v>0.25</v>
      </c>
      <c r="J61" s="1063">
        <f t="shared" ref="J61:J69" si="14">K61+$G61</f>
        <v>3.2199999999999999E-2</v>
      </c>
      <c r="K61" s="1063">
        <f t="shared" ref="K61:K69" si="15">$L61+$G61</f>
        <v>1.61E-2</v>
      </c>
      <c r="L61" s="1063">
        <v>0</v>
      </c>
      <c r="M61" s="1063">
        <f t="shared" ref="M61:N69" si="16">L61-$G61</f>
        <v>-1.61E-2</v>
      </c>
      <c r="N61" s="1063">
        <f t="shared" si="16"/>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3477</v>
      </c>
      <c r="D62" s="1064">
        <f t="shared" si="12"/>
        <v>0</v>
      </c>
      <c r="E62" s="744"/>
      <c r="F62" s="1813"/>
      <c r="G62" s="1062">
        <f t="shared" ref="G62:G69" si="17">H62</f>
        <v>1.67E-2</v>
      </c>
      <c r="H62" s="1065">
        <f t="shared" si="13"/>
        <v>1.67E-2</v>
      </c>
      <c r="I62" s="3365">
        <v>0.26</v>
      </c>
      <c r="J62" s="1063">
        <f t="shared" si="14"/>
        <v>3.3399999999999999E-2</v>
      </c>
      <c r="K62" s="1063">
        <f t="shared" si="15"/>
        <v>1.67E-2</v>
      </c>
      <c r="L62" s="1063">
        <v>0</v>
      </c>
      <c r="M62" s="1063">
        <f t="shared" si="16"/>
        <v>-1.67E-2</v>
      </c>
      <c r="N62" s="1063">
        <f t="shared" si="16"/>
        <v>-3.3399999999999999E-2</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t="s">
        <v>3458</v>
      </c>
      <c r="D63" s="1064">
        <f t="shared" si="12"/>
        <v>7.0000000000000001E-3</v>
      </c>
      <c r="E63" s="744"/>
      <c r="F63" s="1813"/>
      <c r="G63" s="1062">
        <f t="shared" si="17"/>
        <v>7.0000000000000001E-3</v>
      </c>
      <c r="H63" s="1065">
        <f t="shared" si="13"/>
        <v>7.0000000000000001E-3</v>
      </c>
      <c r="I63" s="3365">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3458</v>
      </c>
      <c r="D64" s="1064">
        <f t="shared" si="12"/>
        <v>3.2000000000000002E-3</v>
      </c>
      <c r="E64" s="744"/>
      <c r="F64" s="1813"/>
      <c r="G64" s="1062">
        <f t="shared" si="17"/>
        <v>3.2000000000000002E-3</v>
      </c>
      <c r="H64" s="1065">
        <f t="shared" si="13"/>
        <v>3.2000000000000002E-3</v>
      </c>
      <c r="I64" s="3365">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3478</v>
      </c>
      <c r="D65" s="1064">
        <f t="shared" si="12"/>
        <v>-3.2000000000000002E-3</v>
      </c>
      <c r="E65" s="744"/>
      <c r="F65" s="1813"/>
      <c r="G65" s="1062">
        <f t="shared" si="17"/>
        <v>3.2000000000000002E-3</v>
      </c>
      <c r="H65" s="1065">
        <f t="shared" si="13"/>
        <v>3.2000000000000002E-3</v>
      </c>
      <c r="I65" s="3365">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3458</v>
      </c>
      <c r="D66" s="1064">
        <f t="shared" si="12"/>
        <v>3.8E-3</v>
      </c>
      <c r="E66" s="744"/>
      <c r="F66" s="1813"/>
      <c r="G66" s="1062">
        <f t="shared" si="17"/>
        <v>3.8E-3</v>
      </c>
      <c r="H66" s="1065">
        <f t="shared" si="13"/>
        <v>3.8E-3</v>
      </c>
      <c r="I66" s="3365">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3478</v>
      </c>
      <c r="D67" s="1064">
        <f t="shared" si="12"/>
        <v>-3.8E-3</v>
      </c>
      <c r="E67" s="744"/>
      <c r="F67" s="1813"/>
      <c r="G67" s="1062">
        <f t="shared" si="17"/>
        <v>3.8E-3</v>
      </c>
      <c r="H67" s="1065">
        <f t="shared" si="13"/>
        <v>3.8E-3</v>
      </c>
      <c r="I67" s="3365">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3479</v>
      </c>
      <c r="D68" s="1064">
        <f t="shared" si="12"/>
        <v>1.1599999999999999E-2</v>
      </c>
      <c r="E68" s="744"/>
      <c r="F68" s="1813"/>
      <c r="G68" s="1062">
        <f t="shared" si="17"/>
        <v>5.7999999999999996E-3</v>
      </c>
      <c r="H68" s="1065">
        <f t="shared" si="13"/>
        <v>5.7999999999999996E-3</v>
      </c>
      <c r="I68" s="3365">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3477</v>
      </c>
      <c r="D69" s="1064">
        <f t="shared" si="12"/>
        <v>0</v>
      </c>
      <c r="E69" s="745"/>
      <c r="F69" s="1813"/>
      <c r="G69" s="1062">
        <f t="shared" si="17"/>
        <v>4.4999999999999997E-3</v>
      </c>
      <c r="H69" s="1065">
        <f t="shared" si="13"/>
        <v>4.4999999999999997E-3</v>
      </c>
      <c r="I69" s="3366">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3267</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3270</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3266</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3271</v>
      </c>
      <c r="B96" s="3383" t="s">
        <v>3282</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3272</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3273</v>
      </c>
      <c r="B98" s="3384" t="s">
        <v>3283</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3274</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3275</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3276</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92" t="s">
        <v>3291</v>
      </c>
      <c r="B103" s="3692"/>
      <c r="C103" s="3692"/>
      <c r="D103" s="3692"/>
      <c r="E103" s="3692"/>
      <c r="F103" s="3692"/>
      <c r="G103" s="3692"/>
      <c r="H103" s="3692"/>
      <c r="I103" s="3692"/>
      <c r="J103" s="3692"/>
      <c r="K103" s="3388"/>
      <c r="L103" s="3388"/>
      <c r="M103" s="3388"/>
      <c r="N103" s="3388"/>
    </row>
    <row r="104" spans="1:14">
      <c r="A104" s="3693" t="s">
        <v>3292</v>
      </c>
      <c r="B104" s="3693" t="s">
        <v>3293</v>
      </c>
      <c r="C104" s="3389" t="s">
        <v>3294</v>
      </c>
      <c r="D104" s="3390"/>
      <c r="E104" s="3390"/>
      <c r="F104" s="3390"/>
      <c r="G104" s="3390"/>
      <c r="H104" s="3390"/>
      <c r="I104" s="3390"/>
      <c r="J104" s="3391"/>
      <c r="K104" s="3392"/>
      <c r="L104" s="3392"/>
      <c r="M104" s="3392"/>
      <c r="N104" s="3392"/>
    </row>
    <row r="105" spans="1:14">
      <c r="A105" s="3693"/>
      <c r="B105" s="3693"/>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679"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0"/>
      <c r="B111" s="3393" t="s">
        <v>3265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8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82" t="s">
        <v>3308</v>
      </c>
      <c r="B113" s="3682"/>
      <c r="C113" s="3682"/>
      <c r="D113" s="3682"/>
      <c r="E113" s="3682"/>
      <c r="F113" s="3682"/>
      <c r="G113" s="3682"/>
      <c r="H113" s="3682"/>
      <c r="I113" s="3682"/>
      <c r="J113" s="368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2.5</v>
      </c>
      <c r="C116" s="3398" t="s">
        <v>3310</v>
      </c>
      <c r="D116" s="3399">
        <f>SUMPRODUCT((A118:A122=F116)*(B117:M117=H116)*B118:M122)</f>
        <v>0.90600000000000003</v>
      </c>
      <c r="E116" s="1999" t="s">
        <v>3311</v>
      </c>
      <c r="F116" s="3400" t="str">
        <f>E2</f>
        <v>办公</v>
      </c>
      <c r="G116" s="1999" t="s">
        <v>3312</v>
      </c>
      <c r="H116" s="3400" t="str">
        <f>G2</f>
        <v>七级</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3326</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3327</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3328</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34.229999999999997</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95.767399999999995</v>
      </c>
      <c r="C2" s="1386" t="s">
        <v>879</v>
      </c>
      <c r="D2" s="1470">
        <f ca="1">C40+J29+L46</f>
        <v>957674</v>
      </c>
      <c r="E2" s="1387" t="s">
        <v>880</v>
      </c>
      <c r="F2" s="1388"/>
      <c r="G2" s="2704"/>
      <c r="H2" s="2693"/>
      <c r="I2" s="2693"/>
      <c r="J2" s="2693"/>
      <c r="K2" s="2694"/>
      <c r="L2" s="2693"/>
      <c r="M2" s="2693"/>
    </row>
    <row r="3" spans="1:37" ht="18" customHeight="1" thickBot="1">
      <c r="A3" s="1389" t="s">
        <v>881</v>
      </c>
      <c r="B3" s="1390">
        <f ca="1">IF(ISERROR(D2/F43),0,ROUND(D2/F43,0))</f>
        <v>8771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61053</v>
      </c>
      <c r="D5" s="1363" t="s">
        <v>889</v>
      </c>
      <c r="E5" s="1070"/>
      <c r="F5" s="1071"/>
      <c r="G5" s="1383"/>
      <c r="H5" s="299">
        <v>1</v>
      </c>
      <c r="I5" s="300" t="s">
        <v>888</v>
      </c>
      <c r="J5" s="1069">
        <f ca="1">J6+J10+J12</f>
        <v>0</v>
      </c>
      <c r="K5" s="1363" t="s">
        <v>889</v>
      </c>
      <c r="L5" s="1070"/>
      <c r="M5" s="1071"/>
    </row>
    <row r="6" spans="1:37" ht="18" customHeight="1">
      <c r="A6" s="1068" t="s">
        <v>398</v>
      </c>
      <c r="B6" s="3676" t="s">
        <v>694</v>
      </c>
      <c r="C6" s="1073">
        <f ca="1">ROUND(F6*F8*F7*(1-F9),0)</f>
        <v>60977</v>
      </c>
      <c r="D6" s="155" t="s">
        <v>2105</v>
      </c>
      <c r="E6" s="302" t="s">
        <v>696</v>
      </c>
      <c r="F6" s="303">
        <f ca="1">INDIRECT("'数据-取费表'!u"&amp;$G$1)</f>
        <v>1.7</v>
      </c>
      <c r="G6" s="1383"/>
      <c r="H6" s="1068" t="s">
        <v>398</v>
      </c>
      <c r="I6" s="3676" t="s">
        <v>694</v>
      </c>
      <c r="J6" s="301">
        <f ca="1">ROUND(M6*M8*M7*(1-M9),0)</f>
        <v>0</v>
      </c>
      <c r="K6" s="1375" t="s">
        <v>2106</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109.19</v>
      </c>
      <c r="G7" s="1383"/>
      <c r="H7" s="304"/>
      <c r="I7" s="3677"/>
      <c r="J7" s="306"/>
      <c r="K7" s="307"/>
      <c r="L7" s="302" t="s">
        <v>697</v>
      </c>
      <c r="M7" s="303">
        <f ca="1">F7</f>
        <v>109.19</v>
      </c>
    </row>
    <row r="8" spans="1:37" ht="18" customHeight="1">
      <c r="A8" s="304"/>
      <c r="B8" s="3677"/>
      <c r="C8" s="306"/>
      <c r="D8" s="307"/>
      <c r="E8" s="302" t="s">
        <v>698</v>
      </c>
      <c r="F8" s="303">
        <f ca="1">INDIRECT("'数据-取费表'!ai"&amp;$G$1)</f>
        <v>365</v>
      </c>
      <c r="G8" s="1383"/>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76</v>
      </c>
      <c r="D10" s="1365" t="s">
        <v>2115</v>
      </c>
      <c r="E10" s="313" t="s">
        <v>701</v>
      </c>
      <c r="F10" s="1115" t="s">
        <v>3427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515318</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436760</v>
      </c>
      <c r="D14" s="1344" t="s">
        <v>708</v>
      </c>
      <c r="E14" s="1341"/>
      <c r="F14" s="319"/>
      <c r="G14" s="1383"/>
      <c r="H14" s="981" t="s">
        <v>398</v>
      </c>
      <c r="I14" s="302" t="s">
        <v>709</v>
      </c>
      <c r="J14" s="21">
        <f ca="1">C29</f>
        <v>644148</v>
      </c>
      <c r="K14" s="12"/>
      <c r="L14" s="806"/>
      <c r="M14" s="807"/>
    </row>
    <row r="15" spans="1:37" s="1396" customFormat="1" ht="18" customHeight="1" thickBot="1">
      <c r="A15" s="981" t="s">
        <v>399</v>
      </c>
      <c r="B15" s="302" t="s">
        <v>710</v>
      </c>
      <c r="C15" s="21">
        <f ca="1">ROUND(C14*F15,0)</f>
        <v>21838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1932</v>
      </c>
      <c r="K16" s="1086" t="s">
        <v>715</v>
      </c>
      <c r="L16" s="1087"/>
      <c r="M16" s="1071"/>
    </row>
    <row r="17" spans="1:37" s="1396" customFormat="1" ht="18" customHeight="1">
      <c r="A17" s="981" t="s">
        <v>681</v>
      </c>
      <c r="B17" s="302" t="s">
        <v>716</v>
      </c>
      <c r="C17" s="21">
        <f ca="1">ROUND(F17*(F43+INDIRECT("'数据-取费表'!S"&amp;$G$1)),0)</f>
        <v>21838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8735</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489171</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14675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1932</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15770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-1932</v>
      </c>
      <c r="K25" s="1094" t="s">
        <v>753</v>
      </c>
      <c r="L25" s="1095"/>
      <c r="M25" s="1096"/>
    </row>
    <row r="26" spans="1:37" ht="18" customHeight="1">
      <c r="A26" s="981" t="s">
        <v>397</v>
      </c>
      <c r="B26" s="302" t="s">
        <v>754</v>
      </c>
      <c r="C26" s="21">
        <f ca="1">ROUND((C19+C20)*F26,0)</f>
        <v>75577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644148</v>
      </c>
      <c r="D29" s="1091"/>
      <c r="E29" s="1089"/>
      <c r="F29" s="1092"/>
      <c r="G29" s="1395"/>
      <c r="H29" s="334" t="s">
        <v>396</v>
      </c>
      <c r="I29" s="335" t="s">
        <v>768</v>
      </c>
      <c r="J29" s="336">
        <f ca="1">ROUND(J26/(1+F40)^F41,0)</f>
        <v>0</v>
      </c>
      <c r="K29" s="337" t="s">
        <v>769</v>
      </c>
      <c r="L29" s="338"/>
      <c r="M29" s="339">
        <f ca="1">INDIRECT("'数据-取费表'!k"&amp;$G$1)</f>
        <v>109.19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13221</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10163</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3194</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6969</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1932</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515</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611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47832</v>
      </c>
      <c r="D39" s="1094" t="s">
        <v>773</v>
      </c>
      <c r="E39" s="1095"/>
      <c r="F39" s="1096"/>
      <c r="G39" s="1383"/>
      <c r="H39" s="2698"/>
      <c r="I39" s="1397"/>
      <c r="J39" s="1398"/>
      <c r="K39" s="2702"/>
      <c r="L39" s="2698"/>
      <c r="M39" s="2698"/>
    </row>
    <row r="40" spans="1:18" ht="18" customHeight="1">
      <c r="A40" s="299" t="s">
        <v>395</v>
      </c>
      <c r="B40" s="300" t="s">
        <v>774</v>
      </c>
      <c r="C40" s="301">
        <f ca="1">ROUND(C39*(1-((1+F42)/(1+F40))^F41)/(F40-F42),0)</f>
        <v>936000</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34.229999999999997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8572</v>
      </c>
      <c r="D43" s="337" t="s">
        <v>777</v>
      </c>
      <c r="E43" s="338" t="s">
        <v>778</v>
      </c>
      <c r="F43" s="339">
        <f ca="1">INDIRECT("'数据-取费表'!k"&amp;$G$1)</f>
        <v>109.19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-97.337299999999999</v>
      </c>
      <c r="D45" s="3430" t="s">
        <v>3350</v>
      </c>
      <c r="E45" s="1399"/>
      <c r="F45" s="1399"/>
      <c r="O45" s="1402" t="s">
        <v>808</v>
      </c>
      <c r="P45" s="1460"/>
      <c r="Q45" s="1460"/>
      <c r="R45" s="1460"/>
    </row>
    <row r="46" spans="1:18" s="1383" customFormat="1" ht="13.5" thickBot="1">
      <c r="A46" s="1403" t="s">
        <v>809</v>
      </c>
      <c r="C46" s="1404">
        <f ca="1">ROUND(C45,0)</f>
        <v>-97</v>
      </c>
      <c r="D46" s="1405" t="str">
        <f>C2</f>
        <v>万元</v>
      </c>
      <c r="I46" s="1406" t="s">
        <v>810</v>
      </c>
      <c r="J46" s="1407"/>
      <c r="K46" s="1408"/>
      <c r="L46" s="1409">
        <f ca="1">IF(M47="住宅",0,IF(L48&gt;J51,L60,J60))</f>
        <v>21674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50</v>
      </c>
      <c r="M47" s="1379" t="str">
        <f>IF(ISNUMBER(FIND("住宅",C1)),"住宅","非住宅")</f>
        <v>非住宅</v>
      </c>
      <c r="O47" s="1417" t="s">
        <v>403</v>
      </c>
      <c r="P47" s="1418" t="s">
        <v>817</v>
      </c>
      <c r="Q47" s="1419">
        <f ca="1">C40+J29</f>
        <v>936000</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34.229999999999997</v>
      </c>
      <c r="O48" s="1417" t="s">
        <v>404</v>
      </c>
      <c r="P48" s="1418" t="s">
        <v>821</v>
      </c>
      <c r="Q48" s="1419">
        <f ca="1">J60</f>
        <v>21674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2013</v>
      </c>
      <c r="K49" s="1422" t="s">
        <v>824</v>
      </c>
      <c r="L49" s="1426"/>
      <c r="O49" s="1427" t="s">
        <v>405</v>
      </c>
      <c r="P49" s="1418" t="s">
        <v>825</v>
      </c>
      <c r="Q49" s="1419">
        <f ca="1">C29</f>
        <v>644148</v>
      </c>
      <c r="R49" s="1419" t="s">
        <v>818</v>
      </c>
    </row>
    <row r="50" spans="1:18" s="1383" customFormat="1" ht="13.5" thickBot="1">
      <c r="A50" s="975"/>
      <c r="B50" s="978"/>
      <c r="C50" s="979"/>
      <c r="D50" s="952"/>
      <c r="E50" s="1055" t="s">
        <v>697</v>
      </c>
      <c r="F50" s="1056">
        <f ca="1">F7</f>
        <v>109.19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212583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34.229999999999997</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34.229999999999997</v>
      </c>
      <c r="K53" s="3674" t="s">
        <v>837</v>
      </c>
      <c r="L53" s="3675"/>
      <c r="O53" s="1417" t="s">
        <v>409</v>
      </c>
      <c r="P53" s="1418" t="s">
        <v>838</v>
      </c>
      <c r="Q53" s="1419">
        <f ca="1">Q47+Q48</f>
        <v>957674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515318</v>
      </c>
      <c r="D56" s="1446"/>
      <c r="E56" s="1447"/>
      <c r="F56" s="1439"/>
      <c r="I56" s="1448" t="s">
        <v>842</v>
      </c>
      <c r="J56" s="1449" t="s">
        <v>3430</v>
      </c>
      <c r="K56" s="1420" t="s">
        <v>843</v>
      </c>
      <c r="L56" s="1423" t="str">
        <f ca="1">IF(L48&lt;J51,"——",L48-J51)</f>
        <v>——</v>
      </c>
      <c r="O56" s="1417" t="s">
        <v>403</v>
      </c>
      <c r="P56" s="1418" t="s">
        <v>817</v>
      </c>
      <c r="Q56" s="1419">
        <f ca="1">C40+J29</f>
        <v>936000</v>
      </c>
      <c r="R56" s="1419" t="s">
        <v>818</v>
      </c>
    </row>
    <row r="57" spans="1:18" s="1383" customFormat="1" ht="24.75" thickBot="1">
      <c r="A57" s="1450"/>
      <c r="B57" s="949" t="s">
        <v>767</v>
      </c>
      <c r="C57" s="238">
        <f ca="1">C29</f>
        <v>644148</v>
      </c>
      <c r="D57" s="1451"/>
      <c r="E57" s="1452"/>
      <c r="F57" s="1453"/>
      <c r="I57" s="1454" t="s">
        <v>844</v>
      </c>
      <c r="J57" s="1455">
        <f ca="1">IF(OR(M47="住宅",J51&lt;L48,J56="是"),"——",J51-L48)</f>
        <v>13.770000000000003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2447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257659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21674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936000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1932</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515</v>
      </c>
      <c r="D65" s="963" t="s">
        <v>743</v>
      </c>
      <c r="E65" s="949" t="s">
        <v>744</v>
      </c>
      <c r="F65" s="330">
        <f t="shared" ca="1" si="0"/>
        <v>1E-3</v>
      </c>
      <c r="I65" s="1461" t="s">
        <v>867</v>
      </c>
      <c r="J65" s="1462">
        <v>40</v>
      </c>
      <c r="K65" s="1462">
        <v>30</v>
      </c>
      <c r="L65" s="1462">
        <v>50</v>
      </c>
      <c r="M65" s="1464">
        <v>0.02</v>
      </c>
      <c r="O65" s="1417" t="s">
        <v>403</v>
      </c>
      <c r="P65" s="1418" t="s">
        <v>868</v>
      </c>
      <c r="Q65" s="1419">
        <f ca="1">C40+J29</f>
        <v>936000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-2447</v>
      </c>
      <c r="D67" s="962" t="s">
        <v>753</v>
      </c>
      <c r="E67" s="967"/>
      <c r="F67" s="968"/>
      <c r="O67" s="1427" t="s">
        <v>405</v>
      </c>
      <c r="P67" s="1418" t="s">
        <v>850</v>
      </c>
      <c r="Q67" s="1465">
        <f ca="1">L51</f>
        <v>212583</v>
      </c>
      <c r="R67" s="1419" t="s">
        <v>870</v>
      </c>
    </row>
    <row r="68" spans="1:18" s="1383" customFormat="1" ht="16.5" thickBot="1">
      <c r="A68" s="946" t="s">
        <v>395</v>
      </c>
      <c r="B68" s="947" t="s">
        <v>774</v>
      </c>
      <c r="C68" s="301">
        <f ca="1">ROUND(C67*(1-((1+F70)/(1+F68))^F69)/(F68-F70),0)</f>
        <v>-37373</v>
      </c>
      <c r="D68" s="964" t="s">
        <v>758</v>
      </c>
      <c r="E68" s="949" t="s">
        <v>759</v>
      </c>
      <c r="F68" s="312">
        <f ca="1">F40</f>
        <v>5.5E-2</v>
      </c>
      <c r="O68" s="1427" t="s">
        <v>406</v>
      </c>
      <c r="P68" s="1466" t="s">
        <v>871</v>
      </c>
      <c r="Q68" s="1419">
        <f ca="1">ROUND(Q69-Q70*Q71,0)</f>
        <v>11760</v>
      </c>
      <c r="R68" s="1419" t="s">
        <v>414</v>
      </c>
    </row>
    <row r="69" spans="1:18" s="1383" customFormat="1" ht="13.5" thickBot="1">
      <c r="A69" s="950"/>
      <c r="B69" s="951"/>
      <c r="C69" s="306"/>
      <c r="D69" s="969" t="s">
        <v>762</v>
      </c>
      <c r="E69" s="949" t="s">
        <v>763</v>
      </c>
      <c r="F69" s="333">
        <f ca="1">F41</f>
        <v>34.229999999999997</v>
      </c>
      <c r="O69" s="1427" t="s">
        <v>411</v>
      </c>
      <c r="P69" s="1466" t="s">
        <v>872</v>
      </c>
      <c r="Q69" s="1419">
        <f ca="1">C39</f>
        <v>47832</v>
      </c>
      <c r="R69" s="1419" t="s">
        <v>818</v>
      </c>
    </row>
    <row r="70" spans="1:18" s="1383" customFormat="1" ht="13.5" thickBot="1">
      <c r="A70" s="953"/>
      <c r="B70" s="954"/>
      <c r="C70" s="310"/>
      <c r="D70" s="965"/>
      <c r="E70" s="949" t="s">
        <v>766</v>
      </c>
      <c r="F70" s="1053"/>
      <c r="O70" s="1427" t="s">
        <v>412</v>
      </c>
      <c r="P70" s="1466" t="s">
        <v>873</v>
      </c>
      <c r="Q70" s="1419">
        <f ca="1">C13</f>
        <v>515318</v>
      </c>
      <c r="R70" s="1419" t="s">
        <v>818</v>
      </c>
    </row>
    <row r="71" spans="1:18" s="1383" customFormat="1" ht="13.5" thickBot="1">
      <c r="A71" s="970" t="s">
        <v>396</v>
      </c>
      <c r="B71" s="971" t="s">
        <v>776</v>
      </c>
      <c r="C71" s="336">
        <f ca="1">ROUND(C68/F71,0)</f>
        <v>-342</v>
      </c>
      <c r="D71" s="972" t="s">
        <v>777</v>
      </c>
      <c r="E71" s="973" t="s">
        <v>778</v>
      </c>
      <c r="F71" s="339">
        <f ca="1">F43</f>
        <v>109.19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36072</v>
      </c>
      <c r="D75" s="1383"/>
      <c r="E75" s="1383"/>
      <c r="F75" s="1383"/>
      <c r="K75" s="1401"/>
      <c r="L75" s="1383"/>
      <c r="O75" s="1417" t="s">
        <v>409</v>
      </c>
      <c r="P75" s="1418" t="s">
        <v>838</v>
      </c>
      <c r="Q75" s="1419">
        <f ca="1">Q65+Q66</f>
        <v>936000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3432</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166.49289999999999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15248</v>
      </c>
      <c r="C3" s="354" t="s">
        <v>1768</v>
      </c>
      <c r="D3" s="353">
        <f>IF(D1="",'数据-汇总表'!E3,SUMIF('数据-汇总表'!$C19:$C33,D1,'数据-汇总表'!$E19:$E33))</f>
        <v>109.19</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25" t="s">
        <v>1775</v>
      </c>
      <c r="Q4" s="3726"/>
      <c r="R4" s="3703" t="s">
        <v>1771</v>
      </c>
      <c r="S4" s="3704"/>
      <c r="T4" s="3703" t="s">
        <v>1772</v>
      </c>
      <c r="U4" s="3704"/>
      <c r="V4" s="3733" t="s">
        <v>1773</v>
      </c>
      <c r="W4" s="3733"/>
      <c r="X4" s="1957"/>
      <c r="Y4" s="3703" t="s">
        <v>1775</v>
      </c>
      <c r="Z4" s="3704"/>
      <c r="AA4" s="3698" t="s">
        <v>1771</v>
      </c>
      <c r="AB4" s="3698" t="s">
        <v>1772</v>
      </c>
      <c r="AC4" s="3718" t="s">
        <v>1773</v>
      </c>
    </row>
    <row r="5" spans="1:29" ht="15">
      <c r="A5" s="358"/>
      <c r="B5" s="359"/>
      <c r="C5" s="3709" t="s">
        <v>1673</v>
      </c>
      <c r="D5" s="3710"/>
      <c r="E5" s="3707"/>
      <c r="F5" s="3708"/>
      <c r="G5" s="3713"/>
      <c r="H5" s="3710"/>
      <c r="I5" s="3713"/>
      <c r="J5" s="3710"/>
      <c r="K5" s="559"/>
      <c r="L5" s="2713"/>
      <c r="M5" s="2714"/>
      <c r="N5" s="2714"/>
      <c r="O5" s="2714"/>
      <c r="P5" s="3727"/>
      <c r="Q5" s="3728"/>
      <c r="R5" s="3705"/>
      <c r="S5" s="3706"/>
      <c r="T5" s="3705"/>
      <c r="U5" s="3706"/>
      <c r="V5" s="3734"/>
      <c r="W5" s="3734"/>
      <c r="X5" s="1354"/>
      <c r="Y5" s="3705"/>
      <c r="Z5" s="3706"/>
      <c r="AA5" s="3699"/>
      <c r="AB5" s="3699"/>
      <c r="AC5" s="3719"/>
    </row>
    <row r="6" spans="1:29" ht="15.75" thickBot="1">
      <c r="A6" s="360"/>
      <c r="B6" s="361"/>
      <c r="C6" s="3711" t="s">
        <v>1677</v>
      </c>
      <c r="D6" s="3712"/>
      <c r="E6" s="3714" t="s">
        <v>1677</v>
      </c>
      <c r="F6" s="3715"/>
      <c r="G6" s="3716"/>
      <c r="H6" s="3712"/>
      <c r="I6" s="3711" t="s">
        <v>1677</v>
      </c>
      <c r="J6" s="3712"/>
      <c r="K6" s="559" t="s">
        <v>1678</v>
      </c>
      <c r="L6" s="2713"/>
      <c r="M6" s="2714"/>
      <c r="N6" s="2714"/>
      <c r="O6" s="2714"/>
      <c r="P6" s="3729"/>
      <c r="Q6" s="3730"/>
      <c r="R6" s="3705"/>
      <c r="S6" s="3706"/>
      <c r="T6" s="3731"/>
      <c r="U6" s="3732"/>
      <c r="V6" s="3734"/>
      <c r="W6" s="3734"/>
      <c r="X6" s="1354"/>
      <c r="Y6" s="3731"/>
      <c r="Z6" s="3732"/>
      <c r="AA6" s="3700"/>
      <c r="AB6" s="3700"/>
      <c r="AC6" s="3720"/>
    </row>
    <row r="7" spans="1:29" s="108" customFormat="1" ht="15.75" thickBot="1">
      <c r="A7" s="362" t="s">
        <v>1679</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5"/>
      <c r="M7" s="2716"/>
      <c r="N7" s="2716"/>
      <c r="O7" s="2716"/>
      <c r="P7" s="3735" t="s">
        <v>1680</v>
      </c>
      <c r="Q7" s="3736"/>
      <c r="R7" s="700" t="s">
        <v>14</v>
      </c>
      <c r="S7" s="701">
        <f t="shared" ref="S7:S15" si="0">F7</f>
        <v>100</v>
      </c>
      <c r="T7" s="700" t="s">
        <v>14</v>
      </c>
      <c r="U7" s="701">
        <f t="shared" ref="U7:U15" si="1">H7</f>
        <v>100</v>
      </c>
      <c r="V7" s="700" t="s">
        <v>14</v>
      </c>
      <c r="W7" s="701">
        <f t="shared" ref="W7:W15" si="2">J7</f>
        <v>100</v>
      </c>
      <c r="X7" s="702"/>
      <c r="Y7" s="3701" t="s">
        <v>1680</v>
      </c>
      <c r="Z7" s="3702"/>
      <c r="AA7" s="703">
        <f>D7/F7</f>
        <v>1</v>
      </c>
      <c r="AB7" s="703">
        <f>D7/H7</f>
        <v>1</v>
      </c>
      <c r="AC7" s="1958">
        <f>D7/J7</f>
        <v>1</v>
      </c>
    </row>
    <row r="8" spans="1:29" s="108" customFormat="1" ht="15.75" thickBot="1">
      <c r="A8" s="362" t="s">
        <v>1681</v>
      </c>
      <c r="B8" s="363"/>
      <c r="C8" s="368" t="s">
        <v>3433</v>
      </c>
      <c r="D8" s="365">
        <v>100</v>
      </c>
      <c r="E8" s="368" t="s">
        <v>3435</v>
      </c>
      <c r="F8" s="367">
        <f>SUMIF(62:62,E8,63:63)-SUMIF(62:62,C8,63:63)+100</f>
        <v>103</v>
      </c>
      <c r="G8" s="368" t="s">
        <v>3435</v>
      </c>
      <c r="H8" s="365">
        <f>SUMIF(62:62,G8,63:63)-SUMIF(62:62,C8,63:63)+100</f>
        <v>103</v>
      </c>
      <c r="I8" s="368" t="s">
        <v>3435</v>
      </c>
      <c r="J8" s="365">
        <f>SUMIF(62:62,I8,63:63)-SUMIF(62:62,C8,63:63)+100</f>
        <v>103</v>
      </c>
      <c r="K8" s="560"/>
      <c r="L8" s="2715"/>
      <c r="M8" s="2716"/>
      <c r="N8" s="2716"/>
      <c r="O8" s="2716"/>
      <c r="P8" s="3735" t="s">
        <v>1683</v>
      </c>
      <c r="Q8" s="3702"/>
      <c r="R8" s="700" t="s">
        <v>14</v>
      </c>
      <c r="S8" s="701">
        <f t="shared" si="0"/>
        <v>103</v>
      </c>
      <c r="T8" s="700" t="s">
        <v>14</v>
      </c>
      <c r="U8" s="701">
        <f t="shared" si="1"/>
        <v>103</v>
      </c>
      <c r="V8" s="700" t="s">
        <v>14</v>
      </c>
      <c r="W8" s="701">
        <f t="shared" si="2"/>
        <v>103</v>
      </c>
      <c r="X8" s="702"/>
      <c r="Y8" s="3701" t="s">
        <v>1683</v>
      </c>
      <c r="Z8" s="3702"/>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79"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1958">
        <f t="shared" si="5"/>
        <v>1</v>
      </c>
    </row>
    <row r="10" spans="1:29" s="378" customFormat="1" ht="27">
      <c r="A10" s="374"/>
      <c r="B10" s="375" t="s">
        <v>1688</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71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7"/>
      <c r="Q11" s="1342" t="str">
        <f t="shared" si="6"/>
        <v>容积率</v>
      </c>
      <c r="R11" s="700" t="s">
        <v>14</v>
      </c>
      <c r="S11" s="701">
        <f t="shared" si="0"/>
        <v>100</v>
      </c>
      <c r="T11" s="700" t="s">
        <v>14</v>
      </c>
      <c r="U11" s="701">
        <f t="shared" si="1"/>
        <v>100</v>
      </c>
      <c r="V11" s="700" t="s">
        <v>14</v>
      </c>
      <c r="W11" s="701">
        <f t="shared" si="2"/>
        <v>100</v>
      </c>
      <c r="X11" s="702"/>
      <c r="Y11" s="364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7"/>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7"/>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17"/>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37" t="s">
        <v>1691</v>
      </c>
      <c r="Q15" s="1351" t="str">
        <f t="shared" si="6"/>
        <v>办公集聚程度</v>
      </c>
      <c r="R15" s="704" t="s">
        <v>14</v>
      </c>
      <c r="S15" s="705">
        <f t="shared" si="0"/>
        <v>100</v>
      </c>
      <c r="T15" s="704" t="s">
        <v>14</v>
      </c>
      <c r="U15" s="705">
        <f t="shared" si="1"/>
        <v>100</v>
      </c>
      <c r="V15" s="704" t="s">
        <v>14</v>
      </c>
      <c r="W15" s="705">
        <f t="shared" si="2"/>
        <v>100</v>
      </c>
      <c r="X15" s="1354"/>
      <c r="Y15" s="3739" t="s">
        <v>1691</v>
      </c>
      <c r="Z15" s="1355" t="str">
        <f t="shared" si="7"/>
        <v>办公集聚程度</v>
      </c>
      <c r="AA15" s="1352">
        <f t="shared" si="3"/>
        <v>1</v>
      </c>
      <c r="AB15" s="1352">
        <f t="shared" si="4"/>
        <v>1</v>
      </c>
      <c r="AC15" s="1961">
        <f t="shared" si="5"/>
        <v>1</v>
      </c>
    </row>
    <row r="16" spans="1:29" ht="15">
      <c r="A16" s="379"/>
      <c r="B16" s="578"/>
      <c r="C16" s="1903" t="s">
        <v>3458</v>
      </c>
      <c r="D16" s="399"/>
      <c r="E16" s="1903" t="s">
        <v>3458</v>
      </c>
      <c r="F16" s="399"/>
      <c r="G16" s="1903" t="s">
        <v>3458</v>
      </c>
      <c r="H16" s="401"/>
      <c r="I16" s="1903" t="s">
        <v>3458</v>
      </c>
      <c r="J16" s="399"/>
      <c r="K16" s="564"/>
      <c r="L16" s="2720"/>
      <c r="M16" s="2714"/>
      <c r="N16" s="2714"/>
      <c r="O16" s="2714"/>
      <c r="P16" s="3738"/>
      <c r="Q16" s="1351"/>
      <c r="R16" s="704"/>
      <c r="S16" s="705"/>
      <c r="T16" s="704"/>
      <c r="U16" s="705"/>
      <c r="V16" s="704"/>
      <c r="W16" s="705"/>
      <c r="X16" s="1354"/>
      <c r="Y16" s="374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8"/>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961">
        <f t="shared" si="5"/>
        <v>1</v>
      </c>
    </row>
    <row r="18" spans="1:29" ht="15">
      <c r="A18" s="379"/>
      <c r="B18" s="580"/>
      <c r="C18" s="1963" t="s">
        <v>3458</v>
      </c>
      <c r="D18" s="401"/>
      <c r="E18" s="1963" t="s">
        <v>3458</v>
      </c>
      <c r="F18" s="401"/>
      <c r="G18" s="1963" t="s">
        <v>3458</v>
      </c>
      <c r="H18" s="399"/>
      <c r="I18" s="1963" t="s">
        <v>3458</v>
      </c>
      <c r="J18" s="399"/>
      <c r="K18" s="564"/>
      <c r="L18" s="2720"/>
      <c r="M18" s="2714"/>
      <c r="N18" s="2714"/>
      <c r="O18" s="2714"/>
      <c r="P18" s="3738"/>
      <c r="Q18" s="1351"/>
      <c r="R18" s="704"/>
      <c r="S18" s="705"/>
      <c r="T18" s="704"/>
      <c r="U18" s="705"/>
      <c r="V18" s="704"/>
      <c r="W18" s="705"/>
      <c r="X18" s="1354"/>
      <c r="Y18" s="374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8"/>
      <c r="Q19" s="1351" t="str">
        <f>B19</f>
        <v>公共配套设施</v>
      </c>
      <c r="R19" s="704" t="s">
        <v>14</v>
      </c>
      <c r="S19" s="705">
        <f>F19</f>
        <v>100</v>
      </c>
      <c r="T19" s="704" t="s">
        <v>14</v>
      </c>
      <c r="U19" s="705">
        <f>H19</f>
        <v>100</v>
      </c>
      <c r="V19" s="704" t="s">
        <v>14</v>
      </c>
      <c r="W19" s="705">
        <f>J19</f>
        <v>100</v>
      </c>
      <c r="X19" s="1354"/>
      <c r="Y19" s="3740"/>
      <c r="Z19" s="1355" t="str">
        <f>Q19</f>
        <v>公共配套设施</v>
      </c>
      <c r="AA19" s="1352">
        <f t="shared" si="3"/>
        <v>1</v>
      </c>
      <c r="AB19" s="1352">
        <f t="shared" si="4"/>
        <v>1</v>
      </c>
      <c r="AC19" s="1961">
        <f t="shared" si="5"/>
        <v>1</v>
      </c>
    </row>
    <row r="20" spans="1:29" ht="15">
      <c r="A20" s="379"/>
      <c r="B20" s="580"/>
      <c r="C20" s="1903" t="s">
        <v>3458</v>
      </c>
      <c r="D20" s="399"/>
      <c r="E20" s="1903" t="s">
        <v>3458</v>
      </c>
      <c r="F20" s="399"/>
      <c r="G20" s="1903" t="s">
        <v>3458</v>
      </c>
      <c r="H20" s="399"/>
      <c r="I20" s="1903" t="s">
        <v>3458</v>
      </c>
      <c r="J20" s="399"/>
      <c r="K20" s="564"/>
      <c r="L20" s="2720"/>
      <c r="M20" s="2714"/>
      <c r="N20" s="2714"/>
      <c r="O20" s="2714"/>
      <c r="P20" s="3738"/>
      <c r="Q20" s="1351"/>
      <c r="R20" s="704"/>
      <c r="S20" s="705"/>
      <c r="T20" s="704"/>
      <c r="U20" s="705"/>
      <c r="V20" s="704"/>
      <c r="W20" s="705"/>
      <c r="X20" s="1354"/>
      <c r="Y20" s="374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8"/>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961">
        <f t="shared" ref="AC21" si="10">D21/J21</f>
        <v>1</v>
      </c>
    </row>
    <row r="22" spans="1:29" ht="15">
      <c r="A22" s="379"/>
      <c r="B22" s="581"/>
      <c r="C22" s="1963" t="s">
        <v>3459</v>
      </c>
      <c r="D22" s="399"/>
      <c r="E22" s="1963" t="s">
        <v>3459</v>
      </c>
      <c r="F22" s="399"/>
      <c r="G22" s="1963" t="s">
        <v>3459</v>
      </c>
      <c r="H22" s="399"/>
      <c r="I22" s="1963" t="s">
        <v>3459</v>
      </c>
      <c r="J22" s="399"/>
      <c r="K22" s="1129"/>
      <c r="L22" s="2720"/>
      <c r="M22" s="2714"/>
      <c r="N22" s="2714"/>
      <c r="O22" s="2714"/>
      <c r="P22" s="3738"/>
      <c r="Q22" s="1351"/>
      <c r="R22" s="704"/>
      <c r="S22" s="705"/>
      <c r="T22" s="704"/>
      <c r="U22" s="705"/>
      <c r="V22" s="704"/>
      <c r="W22" s="705"/>
      <c r="X22" s="1354"/>
      <c r="Y22" s="374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38"/>
      <c r="Q23" s="1351" t="str">
        <f>B23</f>
        <v>环境质量</v>
      </c>
      <c r="R23" s="704" t="s">
        <v>14</v>
      </c>
      <c r="S23" s="705">
        <f>F23</f>
        <v>100</v>
      </c>
      <c r="T23" s="704" t="s">
        <v>14</v>
      </c>
      <c r="U23" s="705">
        <f>H23</f>
        <v>100</v>
      </c>
      <c r="V23" s="704" t="s">
        <v>14</v>
      </c>
      <c r="W23" s="705">
        <f>J23</f>
        <v>100</v>
      </c>
      <c r="X23" s="1354"/>
      <c r="Y23" s="3740"/>
      <c r="Z23" s="1355" t="str">
        <f>Q23</f>
        <v>环境质量</v>
      </c>
      <c r="AA23" s="1352">
        <f t="shared" si="3"/>
        <v>1</v>
      </c>
      <c r="AB23" s="1352">
        <f t="shared" si="4"/>
        <v>1</v>
      </c>
      <c r="AC23" s="1961">
        <f t="shared" si="5"/>
        <v>1</v>
      </c>
    </row>
    <row r="24" spans="1:29" ht="15">
      <c r="A24" s="379"/>
      <c r="B24" s="581"/>
      <c r="C24" s="1903" t="s">
        <v>3458</v>
      </c>
      <c r="D24" s="399"/>
      <c r="E24" s="1903" t="s">
        <v>3458</v>
      </c>
      <c r="F24" s="399"/>
      <c r="G24" s="1903" t="s">
        <v>3458</v>
      </c>
      <c r="H24" s="399"/>
      <c r="I24" s="1903" t="s">
        <v>3458</v>
      </c>
      <c r="J24" s="399"/>
      <c r="K24" s="564"/>
      <c r="L24" s="2720"/>
      <c r="M24" s="2714"/>
      <c r="N24" s="2714"/>
      <c r="O24" s="2714"/>
      <c r="P24" s="3738"/>
      <c r="Q24" s="1351"/>
      <c r="R24" s="704"/>
      <c r="S24" s="705"/>
      <c r="T24" s="704"/>
      <c r="U24" s="705"/>
      <c r="V24" s="704"/>
      <c r="W24" s="705"/>
      <c r="X24" s="1354"/>
      <c r="Y24" s="374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8"/>
      <c r="Q25" s="1351" t="str">
        <f>B25</f>
        <v>毗邻道路的类型与等级</v>
      </c>
      <c r="R25" s="704" t="s">
        <v>14</v>
      </c>
      <c r="S25" s="705">
        <f>F25</f>
        <v>100</v>
      </c>
      <c r="T25" s="704" t="s">
        <v>14</v>
      </c>
      <c r="U25" s="705">
        <f>H25</f>
        <v>100</v>
      </c>
      <c r="V25" s="704" t="s">
        <v>14</v>
      </c>
      <c r="W25" s="705">
        <f>J25</f>
        <v>100</v>
      </c>
      <c r="X25" s="1354"/>
      <c r="Y25" s="374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38"/>
      <c r="Q26" s="1351"/>
      <c r="R26" s="704"/>
      <c r="S26" s="705"/>
      <c r="T26" s="704"/>
      <c r="U26" s="705"/>
      <c r="V26" s="704"/>
      <c r="W26" s="705"/>
      <c r="X26" s="1354"/>
      <c r="Y26" s="3740"/>
      <c r="Z26" s="1355"/>
      <c r="AA26" s="1352">
        <v>1</v>
      </c>
      <c r="AB26" s="1352">
        <v>1</v>
      </c>
      <c r="AC26" s="1961">
        <v>1</v>
      </c>
    </row>
    <row r="27" spans="1:29" ht="15">
      <c r="A27" s="379"/>
      <c r="B27" s="580" t="s">
        <v>1783</v>
      </c>
      <c r="C27" s="582" t="s">
        <v>3466</v>
      </c>
      <c r="D27" s="386">
        <v>100</v>
      </c>
      <c r="E27" s="565" t="s">
        <v>3442</v>
      </c>
      <c r="F27" s="386">
        <f>SUMIF(89:89,E27,90:90)-SUMIF(89:89,C27,90:90)+100</f>
        <v>104</v>
      </c>
      <c r="G27" s="565" t="s">
        <v>3442</v>
      </c>
      <c r="H27" s="386">
        <f>SUMIF(89:89,G27,90:90)-SUMIF(89:89,C27,90:90)+100</f>
        <v>104</v>
      </c>
      <c r="I27" s="565" t="s">
        <v>3442</v>
      </c>
      <c r="J27" s="386">
        <f>SUMIF(89:89,I27,90:90)-SUMIF(89:89,C27,90:90)+100</f>
        <v>104</v>
      </c>
      <c r="K27" s="561">
        <v>2</v>
      </c>
      <c r="L27" s="2720"/>
      <c r="M27" s="2714"/>
      <c r="N27" s="2714"/>
      <c r="O27" s="2714"/>
      <c r="P27" s="3738"/>
      <c r="Q27" s="1351" t="str">
        <f t="shared" ref="Q27:Q47" si="11">B27</f>
        <v>楼层</v>
      </c>
      <c r="R27" s="704" t="s">
        <v>14</v>
      </c>
      <c r="S27" s="705">
        <f>F27</f>
        <v>104</v>
      </c>
      <c r="T27" s="704" t="s">
        <v>14</v>
      </c>
      <c r="U27" s="705">
        <f>H27</f>
        <v>104</v>
      </c>
      <c r="V27" s="704" t="s">
        <v>14</v>
      </c>
      <c r="W27" s="705">
        <f>J27</f>
        <v>104</v>
      </c>
      <c r="X27" s="1354"/>
      <c r="Y27" s="3740"/>
      <c r="Z27" s="1355" t="str">
        <f>Q27</f>
        <v>楼层</v>
      </c>
      <c r="AA27" s="1352">
        <f t="shared" si="3"/>
        <v>0.96153846153846156</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8"/>
      <c r="Q28" s="1342" t="str">
        <f t="shared" si="11"/>
        <v>朝向</v>
      </c>
      <c r="R28" s="700" t="s">
        <v>14</v>
      </c>
      <c r="S28" s="701">
        <f>F28</f>
        <v>100</v>
      </c>
      <c r="T28" s="700" t="s">
        <v>14</v>
      </c>
      <c r="U28" s="701">
        <f>H28</f>
        <v>100</v>
      </c>
      <c r="V28" s="700" t="s">
        <v>14</v>
      </c>
      <c r="W28" s="701">
        <f>J28</f>
        <v>100</v>
      </c>
      <c r="X28" s="702"/>
      <c r="Y28" s="374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8"/>
      <c r="Q29" s="1351">
        <f t="shared" si="11"/>
        <v>111</v>
      </c>
      <c r="R29" s="704" t="s">
        <v>14</v>
      </c>
      <c r="S29" s="705">
        <f t="shared" ref="S29:S47" si="12">F29</f>
        <v>100</v>
      </c>
      <c r="T29" s="704" t="s">
        <v>14</v>
      </c>
      <c r="U29" s="705">
        <f t="shared" ref="U29:U47" si="13">H29</f>
        <v>100</v>
      </c>
      <c r="V29" s="704" t="s">
        <v>14</v>
      </c>
      <c r="W29" s="705">
        <f t="shared" ref="W29:W47" si="14">J29</f>
        <v>100</v>
      </c>
      <c r="X29" s="1354"/>
      <c r="Y29" s="374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8"/>
      <c r="Q30" s="1351">
        <f t="shared" si="11"/>
        <v>111</v>
      </c>
      <c r="R30" s="704" t="s">
        <v>14</v>
      </c>
      <c r="S30" s="705">
        <f t="shared" si="12"/>
        <v>100</v>
      </c>
      <c r="T30" s="704" t="s">
        <v>14</v>
      </c>
      <c r="U30" s="705">
        <f t="shared" si="13"/>
        <v>100</v>
      </c>
      <c r="V30" s="704" t="s">
        <v>14</v>
      </c>
      <c r="W30" s="705">
        <f t="shared" si="14"/>
        <v>100</v>
      </c>
      <c r="X30" s="1354"/>
      <c r="Y30" s="374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8"/>
      <c r="Q31" s="1351">
        <f t="shared" si="11"/>
        <v>111</v>
      </c>
      <c r="R31" s="704" t="s">
        <v>14</v>
      </c>
      <c r="S31" s="705">
        <f t="shared" si="12"/>
        <v>100</v>
      </c>
      <c r="T31" s="704" t="s">
        <v>14</v>
      </c>
      <c r="U31" s="705">
        <f t="shared" si="13"/>
        <v>100</v>
      </c>
      <c r="V31" s="704" t="s">
        <v>14</v>
      </c>
      <c r="W31" s="705">
        <f t="shared" si="14"/>
        <v>100</v>
      </c>
      <c r="X31" s="1354"/>
      <c r="Y31" s="374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8"/>
      <c r="Q32" s="1351">
        <f t="shared" si="11"/>
        <v>111</v>
      </c>
      <c r="R32" s="704" t="s">
        <v>14</v>
      </c>
      <c r="S32" s="705">
        <f t="shared" si="12"/>
        <v>100</v>
      </c>
      <c r="T32" s="704" t="s">
        <v>14</v>
      </c>
      <c r="U32" s="705">
        <f t="shared" si="13"/>
        <v>100</v>
      </c>
      <c r="V32" s="704" t="s">
        <v>14</v>
      </c>
      <c r="W32" s="705">
        <f t="shared" si="14"/>
        <v>100</v>
      </c>
      <c r="X32" s="1354"/>
      <c r="Y32" s="3740"/>
      <c r="Z32" s="1355">
        <f t="shared" si="15"/>
        <v>111</v>
      </c>
      <c r="AA32" s="1352">
        <f t="shared" si="3"/>
        <v>1</v>
      </c>
      <c r="AB32" s="1352">
        <f t="shared" si="4"/>
        <v>1</v>
      </c>
      <c r="AC32" s="1961">
        <f t="shared" si="5"/>
        <v>1</v>
      </c>
    </row>
    <row r="33" spans="1:29" ht="15">
      <c r="A33" s="391" t="s">
        <v>1694</v>
      </c>
      <c r="B33" s="63" t="s">
        <v>1817</v>
      </c>
      <c r="C33" s="1966" t="s">
        <v>3446</v>
      </c>
      <c r="D33" s="418">
        <v>100</v>
      </c>
      <c r="E33" s="1966" t="s">
        <v>3446</v>
      </c>
      <c r="F33" s="412">
        <f>SUMIF(101:101,E33,102:102)-SUMIF(101:101,C33,102:102)+100</f>
        <v>100</v>
      </c>
      <c r="G33" s="1966" t="s">
        <v>3446</v>
      </c>
      <c r="H33" s="386">
        <f>SUMIF(101:101,G33,102:102)-SUMIF(101:101,C33,102:102)+100</f>
        <v>100</v>
      </c>
      <c r="I33" s="1966" t="s">
        <v>3446</v>
      </c>
      <c r="J33" s="418">
        <f>SUMIF(101:101,I33,102:102)-SUMIF(101:101,C33,102:102)+100</f>
        <v>100</v>
      </c>
      <c r="K33" s="561">
        <v>2</v>
      </c>
      <c r="L33" s="2720"/>
      <c r="M33" s="2714"/>
      <c r="N33" s="2714"/>
      <c r="O33" s="2714"/>
      <c r="P33" s="3741" t="s">
        <v>1696</v>
      </c>
      <c r="Q33" s="1351" t="str">
        <f t="shared" si="11"/>
        <v>建筑类型</v>
      </c>
      <c r="R33" s="704" t="s">
        <v>14</v>
      </c>
      <c r="S33" s="705">
        <f t="shared" si="12"/>
        <v>100</v>
      </c>
      <c r="T33" s="704" t="s">
        <v>14</v>
      </c>
      <c r="U33" s="705">
        <f t="shared" si="13"/>
        <v>100</v>
      </c>
      <c r="V33" s="704" t="s">
        <v>14</v>
      </c>
      <c r="W33" s="705">
        <f t="shared" si="14"/>
        <v>100</v>
      </c>
      <c r="X33" s="1354"/>
      <c r="Y33" s="3744"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109.19</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42"/>
      <c r="Q34" s="706" t="str">
        <f t="shared" si="11"/>
        <v>项目建筑规模</v>
      </c>
      <c r="R34" s="707" t="s">
        <v>14</v>
      </c>
      <c r="S34" s="708">
        <f t="shared" si="12"/>
        <v>100</v>
      </c>
      <c r="T34" s="707" t="s">
        <v>14</v>
      </c>
      <c r="U34" s="708">
        <f t="shared" si="13"/>
        <v>100</v>
      </c>
      <c r="V34" s="707" t="s">
        <v>14</v>
      </c>
      <c r="W34" s="708">
        <f t="shared" si="14"/>
        <v>100</v>
      </c>
      <c r="X34" s="709"/>
      <c r="Y34" s="3744"/>
      <c r="Z34" s="710" t="str">
        <f t="shared" si="15"/>
        <v>项目建筑规模</v>
      </c>
      <c r="AA34" s="1352">
        <f t="shared" si="3"/>
        <v>1</v>
      </c>
      <c r="AB34" s="1352">
        <f t="shared" si="4"/>
        <v>1</v>
      </c>
      <c r="AC34" s="1961">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742"/>
      <c r="Q35" s="1351" t="str">
        <f t="shared" si="11"/>
        <v>建筑结构</v>
      </c>
      <c r="R35" s="704" t="s">
        <v>14</v>
      </c>
      <c r="S35" s="705">
        <f t="shared" si="12"/>
        <v>100</v>
      </c>
      <c r="T35" s="704" t="s">
        <v>14</v>
      </c>
      <c r="U35" s="705">
        <f t="shared" si="13"/>
        <v>100</v>
      </c>
      <c r="V35" s="704" t="s">
        <v>14</v>
      </c>
      <c r="W35" s="705">
        <f t="shared" si="14"/>
        <v>100</v>
      </c>
      <c r="X35" s="1354"/>
      <c r="Y35" s="3744"/>
      <c r="Z35" s="1355" t="str">
        <f t="shared" si="15"/>
        <v>建筑结构</v>
      </c>
      <c r="AA35" s="1352">
        <f t="shared" si="3"/>
        <v>1</v>
      </c>
      <c r="AB35" s="1352">
        <f t="shared" si="4"/>
        <v>1</v>
      </c>
      <c r="AC35" s="1961">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0"/>
      <c r="M36" s="2714"/>
      <c r="N36" s="2714"/>
      <c r="O36" s="2714"/>
      <c r="P36" s="3742"/>
      <c r="Q36" s="1351" t="str">
        <f t="shared" si="11"/>
        <v>公共部分装修</v>
      </c>
      <c r="R36" s="704" t="s">
        <v>14</v>
      </c>
      <c r="S36" s="705">
        <f t="shared" si="12"/>
        <v>100</v>
      </c>
      <c r="T36" s="704" t="s">
        <v>14</v>
      </c>
      <c r="U36" s="705">
        <f t="shared" si="13"/>
        <v>100</v>
      </c>
      <c r="V36" s="704" t="s">
        <v>14</v>
      </c>
      <c r="W36" s="705">
        <f t="shared" si="14"/>
        <v>100</v>
      </c>
      <c r="X36" s="1354"/>
      <c r="Y36" s="3744"/>
      <c r="Z36" s="1355" t="str">
        <f t="shared" si="15"/>
        <v>公共部分装修</v>
      </c>
      <c r="AA36" s="1352">
        <f t="shared" si="3"/>
        <v>1</v>
      </c>
      <c r="AB36" s="1352">
        <f t="shared" si="4"/>
        <v>1</v>
      </c>
      <c r="AC36" s="1961">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42"/>
      <c r="Q37" s="1351" t="str">
        <f t="shared" si="11"/>
        <v>成新度</v>
      </c>
      <c r="R37" s="704" t="s">
        <v>14</v>
      </c>
      <c r="S37" s="705">
        <f t="shared" si="12"/>
        <v>100</v>
      </c>
      <c r="T37" s="704" t="s">
        <v>14</v>
      </c>
      <c r="U37" s="705">
        <f t="shared" si="13"/>
        <v>100</v>
      </c>
      <c r="V37" s="704" t="s">
        <v>14</v>
      </c>
      <c r="W37" s="705">
        <f t="shared" si="14"/>
        <v>100</v>
      </c>
      <c r="X37" s="1354"/>
      <c r="Y37" s="3744"/>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2"/>
      <c r="Q38" s="1342" t="str">
        <f t="shared" si="11"/>
        <v>写字楼等级</v>
      </c>
      <c r="R38" s="700" t="s">
        <v>14</v>
      </c>
      <c r="S38" s="701">
        <f t="shared" si="12"/>
        <v>100</v>
      </c>
      <c r="T38" s="700" t="s">
        <v>14</v>
      </c>
      <c r="U38" s="701">
        <f t="shared" si="13"/>
        <v>100</v>
      </c>
      <c r="V38" s="700" t="s">
        <v>14</v>
      </c>
      <c r="W38" s="701">
        <f t="shared" si="14"/>
        <v>100</v>
      </c>
      <c r="X38" s="702"/>
      <c r="Y38" s="3744"/>
      <c r="Z38" s="52" t="str">
        <f t="shared" si="15"/>
        <v>写字楼等级</v>
      </c>
      <c r="AA38" s="703">
        <f t="shared" si="3"/>
        <v>1</v>
      </c>
      <c r="AB38" s="703">
        <f t="shared" si="4"/>
        <v>1</v>
      </c>
      <c r="AC38" s="1958">
        <f t="shared" si="5"/>
        <v>1</v>
      </c>
    </row>
    <row r="39" spans="1:29" ht="15">
      <c r="A39" s="423"/>
      <c r="B39" s="375" t="s">
        <v>1819</v>
      </c>
      <c r="C39" s="411" t="s">
        <v>3456</v>
      </c>
      <c r="D39" s="386">
        <v>100</v>
      </c>
      <c r="E39" s="411" t="s">
        <v>3456</v>
      </c>
      <c r="F39" s="412">
        <f>SUMIF(115:115,E39,116:116)-SUMIF(115:115,C39,116:116)+100</f>
        <v>100</v>
      </c>
      <c r="G39" s="411" t="s">
        <v>3456</v>
      </c>
      <c r="H39" s="386">
        <f>SUMIF(115:115,G39,116:116)-SUMIF(115:115,C39,116:116)+100</f>
        <v>100</v>
      </c>
      <c r="I39" s="411" t="s">
        <v>3456</v>
      </c>
      <c r="J39" s="386">
        <f>SUMIF(115:115,I39,116:116)-SUMIF(115:115,C39,116:116)+100</f>
        <v>100</v>
      </c>
      <c r="K39" s="561">
        <v>1</v>
      </c>
      <c r="L39" s="2720"/>
      <c r="M39" s="2714"/>
      <c r="N39" s="2714"/>
      <c r="O39" s="2714"/>
      <c r="P39" s="3742" t="s">
        <v>1696</v>
      </c>
      <c r="Q39" s="1351" t="str">
        <f t="shared" si="11"/>
        <v>物业管理</v>
      </c>
      <c r="R39" s="704" t="s">
        <v>14</v>
      </c>
      <c r="S39" s="705">
        <f t="shared" si="12"/>
        <v>100</v>
      </c>
      <c r="T39" s="704" t="s">
        <v>14</v>
      </c>
      <c r="U39" s="705">
        <f t="shared" si="13"/>
        <v>100</v>
      </c>
      <c r="V39" s="704" t="s">
        <v>14</v>
      </c>
      <c r="W39" s="705">
        <f t="shared" si="14"/>
        <v>100</v>
      </c>
      <c r="X39" s="1354"/>
      <c r="Y39" s="3744"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2"/>
      <c r="Q40" s="1351" t="str">
        <f t="shared" si="11"/>
        <v>市政基础设施</v>
      </c>
      <c r="R40" s="704" t="s">
        <v>14</v>
      </c>
      <c r="S40" s="705">
        <f t="shared" si="12"/>
        <v>100</v>
      </c>
      <c r="T40" s="704" t="s">
        <v>14</v>
      </c>
      <c r="U40" s="705">
        <f t="shared" si="13"/>
        <v>100</v>
      </c>
      <c r="V40" s="704" t="s">
        <v>14</v>
      </c>
      <c r="W40" s="705">
        <f t="shared" si="14"/>
        <v>100</v>
      </c>
      <c r="X40" s="1354"/>
      <c r="Y40" s="3744"/>
      <c r="Z40" s="1355" t="str">
        <f t="shared" si="15"/>
        <v>市政基础设施</v>
      </c>
      <c r="AA40" s="1352">
        <f t="shared" si="3"/>
        <v>1</v>
      </c>
      <c r="AB40" s="1352">
        <f t="shared" si="4"/>
        <v>1</v>
      </c>
      <c r="AC40" s="1961">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20"/>
      <c r="M41" s="2714"/>
      <c r="N41" s="2714"/>
      <c r="O41" s="2714"/>
      <c r="P41" s="3742"/>
      <c r="Q41" s="1351" t="str">
        <f t="shared" si="11"/>
        <v>层高</v>
      </c>
      <c r="R41" s="704" t="s">
        <v>14</v>
      </c>
      <c r="S41" s="705">
        <f t="shared" si="12"/>
        <v>100</v>
      </c>
      <c r="T41" s="704" t="s">
        <v>14</v>
      </c>
      <c r="U41" s="705">
        <f t="shared" si="13"/>
        <v>100</v>
      </c>
      <c r="V41" s="704" t="s">
        <v>14</v>
      </c>
      <c r="W41" s="705">
        <f t="shared" si="14"/>
        <v>100</v>
      </c>
      <c r="X41" s="1354"/>
      <c r="Y41" s="3744"/>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2"/>
      <c r="Q42" s="706" t="str">
        <f t="shared" si="11"/>
        <v>单套建筑面积</v>
      </c>
      <c r="R42" s="707" t="s">
        <v>14</v>
      </c>
      <c r="S42" s="708">
        <f t="shared" si="12"/>
        <v>100</v>
      </c>
      <c r="T42" s="707" t="s">
        <v>14</v>
      </c>
      <c r="U42" s="708">
        <f t="shared" si="13"/>
        <v>100</v>
      </c>
      <c r="V42" s="707" t="s">
        <v>14</v>
      </c>
      <c r="W42" s="708">
        <f t="shared" si="14"/>
        <v>100</v>
      </c>
      <c r="X42" s="709"/>
      <c r="Y42" s="3744"/>
      <c r="Z42" s="710" t="str">
        <f t="shared" si="15"/>
        <v>单套建筑面积</v>
      </c>
      <c r="AA42" s="1352">
        <f t="shared" si="3"/>
        <v>1</v>
      </c>
      <c r="AB42" s="1352">
        <f t="shared" si="4"/>
        <v>1</v>
      </c>
      <c r="AC42" s="1961">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20"/>
      <c r="M43" s="2714"/>
      <c r="N43" s="2714"/>
      <c r="O43" s="2714"/>
      <c r="P43" s="3742"/>
      <c r="Q43" s="1351" t="str">
        <f t="shared" si="11"/>
        <v>内部装修</v>
      </c>
      <c r="R43" s="704" t="s">
        <v>14</v>
      </c>
      <c r="S43" s="705">
        <f t="shared" si="12"/>
        <v>100</v>
      </c>
      <c r="T43" s="704" t="s">
        <v>14</v>
      </c>
      <c r="U43" s="705">
        <f t="shared" si="13"/>
        <v>100</v>
      </c>
      <c r="V43" s="704" t="s">
        <v>14</v>
      </c>
      <c r="W43" s="705">
        <f t="shared" si="14"/>
        <v>100</v>
      </c>
      <c r="X43" s="1354"/>
      <c r="Y43" s="3744"/>
      <c r="Z43" s="1355" t="str">
        <f t="shared" si="15"/>
        <v>内部装修</v>
      </c>
      <c r="AA43" s="1352">
        <f t="shared" si="3"/>
        <v>1</v>
      </c>
      <c r="AB43" s="1352">
        <f t="shared" si="4"/>
        <v>1</v>
      </c>
      <c r="AC43" s="1961">
        <f t="shared" si="5"/>
        <v>1</v>
      </c>
    </row>
    <row r="44" spans="1:29" ht="15">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742"/>
      <c r="Q44" s="1351" t="str">
        <f t="shared" si="11"/>
        <v>内部装修维护情况</v>
      </c>
      <c r="R44" s="704" t="s">
        <v>14</v>
      </c>
      <c r="S44" s="705">
        <f t="shared" si="12"/>
        <v>100</v>
      </c>
      <c r="T44" s="704" t="s">
        <v>14</v>
      </c>
      <c r="U44" s="705">
        <f t="shared" si="13"/>
        <v>100</v>
      </c>
      <c r="V44" s="704" t="s">
        <v>14</v>
      </c>
      <c r="W44" s="705">
        <f t="shared" si="14"/>
        <v>100</v>
      </c>
      <c r="X44" s="1354"/>
      <c r="Y44" s="374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2"/>
      <c r="Q45" s="1342">
        <f t="shared" si="11"/>
        <v>111</v>
      </c>
      <c r="R45" s="700" t="s">
        <v>14</v>
      </c>
      <c r="S45" s="701">
        <f t="shared" si="12"/>
        <v>100</v>
      </c>
      <c r="T45" s="700" t="s">
        <v>14</v>
      </c>
      <c r="U45" s="701">
        <f t="shared" si="13"/>
        <v>100</v>
      </c>
      <c r="V45" s="700" t="s">
        <v>14</v>
      </c>
      <c r="W45" s="701">
        <f t="shared" si="14"/>
        <v>100</v>
      </c>
      <c r="X45" s="702"/>
      <c r="Y45" s="374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2"/>
      <c r="Q46" s="1351">
        <f t="shared" si="11"/>
        <v>111</v>
      </c>
      <c r="R46" s="704" t="s">
        <v>14</v>
      </c>
      <c r="S46" s="705">
        <f t="shared" si="12"/>
        <v>100</v>
      </c>
      <c r="T46" s="704" t="s">
        <v>14</v>
      </c>
      <c r="U46" s="705">
        <f t="shared" si="13"/>
        <v>100</v>
      </c>
      <c r="V46" s="704" t="s">
        <v>14</v>
      </c>
      <c r="W46" s="705">
        <f t="shared" si="14"/>
        <v>100</v>
      </c>
      <c r="X46" s="1354"/>
      <c r="Y46" s="374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3"/>
      <c r="Q47" s="1351">
        <f t="shared" si="11"/>
        <v>111</v>
      </c>
      <c r="R47" s="704" t="s">
        <v>14</v>
      </c>
      <c r="S47" s="705">
        <f t="shared" si="12"/>
        <v>100</v>
      </c>
      <c r="T47" s="704" t="s">
        <v>14</v>
      </c>
      <c r="U47" s="705">
        <f t="shared" si="13"/>
        <v>100</v>
      </c>
      <c r="V47" s="704" t="s">
        <v>14</v>
      </c>
      <c r="W47" s="705">
        <f t="shared" si="14"/>
        <v>100</v>
      </c>
      <c r="X47" s="1354"/>
      <c r="Y47" s="3745"/>
      <c r="Z47" s="1355">
        <f t="shared" si="15"/>
        <v>111</v>
      </c>
      <c r="AA47" s="1352">
        <f t="shared" si="3"/>
        <v>1</v>
      </c>
      <c r="AB47" s="1352">
        <f t="shared" si="4"/>
        <v>1</v>
      </c>
      <c r="AC47" s="1961">
        <f t="shared" si="5"/>
        <v>1</v>
      </c>
    </row>
    <row r="48" spans="1:29" ht="15">
      <c r="A48" s="430" t="s">
        <v>1708</v>
      </c>
      <c r="B48" s="431"/>
      <c r="C48" s="1153" t="s">
        <v>0</v>
      </c>
      <c r="D48" s="1154"/>
      <c r="E48" s="1155">
        <v>16000</v>
      </c>
      <c r="F48" s="1156"/>
      <c r="G48" s="1157">
        <v>17000</v>
      </c>
      <c r="H48" s="1158"/>
      <c r="I48" s="1155">
        <v>16000</v>
      </c>
      <c r="J48" s="436"/>
      <c r="K48" s="713"/>
      <c r="L48" s="2722"/>
      <c r="M48" s="2714"/>
      <c r="N48" s="2714"/>
      <c r="O48" s="2714"/>
      <c r="P48" s="3717" t="str">
        <f>A48</f>
        <v>成交单价（元/平方米）</v>
      </c>
      <c r="Q48" s="3746"/>
      <c r="R48" s="3747">
        <f>E48</f>
        <v>16000</v>
      </c>
      <c r="S48" s="3747"/>
      <c r="T48" s="3747">
        <f>G48</f>
        <v>17000</v>
      </c>
      <c r="U48" s="3747"/>
      <c r="V48" s="3747">
        <f>I48</f>
        <v>16000</v>
      </c>
      <c r="W48" s="3747"/>
      <c r="X48" s="397"/>
      <c r="Y48" s="711"/>
      <c r="Z48" s="397"/>
      <c r="AA48" s="397"/>
      <c r="AB48" s="397"/>
      <c r="AC48" s="578"/>
    </row>
    <row r="49" spans="1:29" ht="15.75" thickBot="1">
      <c r="A49" s="437" t="s">
        <v>1793</v>
      </c>
      <c r="B49" s="438"/>
      <c r="C49" s="1159">
        <f>R50</f>
        <v>15248</v>
      </c>
      <c r="D49" s="2316" t="s">
        <v>2137</v>
      </c>
      <c r="E49" s="1160">
        <f>R49</f>
        <v>14937</v>
      </c>
      <c r="F49" s="2317"/>
      <c r="G49" s="1159">
        <f>T49</f>
        <v>15870</v>
      </c>
      <c r="H49" s="2317"/>
      <c r="I49" s="1160">
        <f>V49</f>
        <v>14937</v>
      </c>
      <c r="J49" s="2317"/>
      <c r="K49" s="2319">
        <f>F49+H49+J49</f>
        <v>0</v>
      </c>
      <c r="L49" s="2722"/>
      <c r="M49" s="2714"/>
      <c r="N49" s="2714"/>
      <c r="O49" s="2714"/>
      <c r="P49" s="3717" t="str">
        <f>A49</f>
        <v>比较价值（元/平方米）</v>
      </c>
      <c r="Q49" s="3746"/>
      <c r="R49" s="3747">
        <f>IF(F1="售价",ROUND(PRODUCT(R48,AA7:AA47),0),ROUND(PRODUCT(R48,AA7:AA47),1))</f>
        <v>14937</v>
      </c>
      <c r="S49" s="3747"/>
      <c r="T49" s="3747">
        <f>IF(F1="售价",ROUND(PRODUCT(T48,AB7:AB47),0),ROUND(PRODUCT(T48,AB7:AB47),1))</f>
        <v>15870</v>
      </c>
      <c r="U49" s="3747"/>
      <c r="V49" s="3747">
        <f>IF(F1="售价",ROUND(PRODUCT(V48,AC7:AC47),0),ROUND(PRODUCT(V48,AC7:AC47),1))</f>
        <v>14937</v>
      </c>
      <c r="W49" s="3747"/>
      <c r="X49" s="397"/>
      <c r="Y49" s="397"/>
      <c r="Z49" s="397"/>
      <c r="AA49" s="397"/>
      <c r="AB49" s="397"/>
      <c r="AC49" s="578"/>
    </row>
    <row r="50" spans="1:29" ht="15.75" thickBot="1">
      <c r="A50" s="441" t="s">
        <v>1794</v>
      </c>
      <c r="B50" s="442"/>
      <c r="C50" s="1162">
        <f>R50</f>
        <v>15248</v>
      </c>
      <c r="D50" s="1162"/>
      <c r="E50" s="1162"/>
      <c r="F50" s="1162"/>
      <c r="G50" s="1162"/>
      <c r="H50" s="1162"/>
      <c r="I50" s="1162"/>
      <c r="J50" s="443"/>
      <c r="K50" s="714"/>
      <c r="L50" s="2722"/>
      <c r="M50" s="2714"/>
      <c r="N50" s="2714"/>
      <c r="O50" s="2714"/>
      <c r="P50" s="3748" t="str">
        <f>A50</f>
        <v>估价对象XX用房的比较价值（楼面单价，元/平方米）</v>
      </c>
      <c r="Q50" s="3749"/>
      <c r="R50" s="3750">
        <f>IF(F1="售价",ROUND(IF(D49="简单平均",AVERAGE(R49:V49),R49*F49+T49*H49+V49*J49),0),ROUND(IF(D49="简单平均",AVERAGE(R49:V49),R49*F49+T49*H49+V49*J49),1))</f>
        <v>15248</v>
      </c>
      <c r="S50" s="3750"/>
      <c r="T50" s="3750"/>
      <c r="U50" s="3750"/>
      <c r="V50" s="3750"/>
      <c r="W50" s="375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7.1165562027180718E-2</v>
      </c>
      <c r="F53" s="449" t="str">
        <f>IF(OR(E53&gt;=0.3,E53&lt;=-0.3),"超过30%","")</f>
        <v/>
      </c>
      <c r="G53" s="448">
        <f>IF(G48&lt;G49,G49/G48-1,G48/G49-1)</f>
        <v>7.1203528670447325E-2</v>
      </c>
      <c r="H53" s="449" t="str">
        <f>IF(OR(G53&gt;=0.3,G53&lt;=-0.3),"超过30%","")</f>
        <v/>
      </c>
      <c r="I53" s="448">
        <f>IF(I48&lt;I49,I49/I48-1,I48/I49-1)</f>
        <v>7.1165562027180718E-2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6.2462341835709978E-2</v>
      </c>
      <c r="F54" s="449" t="str">
        <f>IF(OR(E54&gt;=0.2,E54&lt;=-0.2),"超过20%","")</f>
        <v/>
      </c>
      <c r="G54" s="448">
        <f>IF(G49&lt;I49,I49/G49-1,G49/I49-1)</f>
        <v>6.2462341835709978E-2</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6.25E-2</v>
      </c>
      <c r="F55" s="449" t="str">
        <f>IF(OR(E55&gt;=0.3,E55&lt;=-0.3),"超过30%","")</f>
        <v/>
      </c>
      <c r="G55" s="448">
        <f>IF(G48&lt;I48,I48/G48-1,G48/I48-1)</f>
        <v>6.25E-2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80" t="s">
        <v>3436</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3437</v>
      </c>
      <c r="D66" s="532" t="s">
        <v>3438</v>
      </c>
      <c r="E66" s="532" t="s">
        <v>3439</v>
      </c>
      <c r="F66" s="532" t="s">
        <v>3440</v>
      </c>
      <c r="G66" s="532" t="s">
        <v>3441</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1" t="s">
        <v>3443</v>
      </c>
      <c r="D89" s="3481" t="s">
        <v>3444</v>
      </c>
      <c r="E89" s="3481" t="s">
        <v>3445</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3447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3448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1" t="s">
        <v>3450</v>
      </c>
      <c r="D108" s="3481" t="s">
        <v>3451</v>
      </c>
      <c r="E108" s="3481" t="s">
        <v>3452</v>
      </c>
      <c r="F108" s="3483" t="s">
        <v>3453</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3457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3" t="s">
        <v>3455</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1" t="s">
        <v>3450</v>
      </c>
      <c r="D123" s="3481" t="s">
        <v>3451</v>
      </c>
      <c r="E123" s="3481" t="s">
        <v>3452</v>
      </c>
      <c r="F123" s="3483" t="s">
        <v>3453</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51" t="s">
        <v>2316</v>
      </c>
      <c r="K2" s="3752"/>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53" t="s">
        <v>2326</v>
      </c>
      <c r="K3" s="3754"/>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53" t="s">
        <v>2328</v>
      </c>
      <c r="K4" s="3754"/>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55" t="s">
        <v>2332</v>
      </c>
      <c r="B6" s="3756"/>
      <c r="C6" s="3757"/>
      <c r="D6" s="2868"/>
      <c r="E6" s="2869"/>
      <c r="F6" s="2870"/>
      <c r="G6" s="2871"/>
      <c r="H6" s="2846"/>
      <c r="I6" s="2847"/>
      <c r="J6" s="3758">
        <v>1</v>
      </c>
      <c r="K6" s="3759"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58"/>
      <c r="K7" s="3760"/>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62" t="s">
        <v>2346</v>
      </c>
      <c r="C8" s="3763"/>
      <c r="D8" s="2887" t="s">
        <v>2347</v>
      </c>
      <c r="E8" s="2888" t="s">
        <v>2348</v>
      </c>
      <c r="F8" s="2889" t="s">
        <v>2349</v>
      </c>
      <c r="G8" s="2890"/>
      <c r="H8" s="2846"/>
      <c r="I8" s="2847"/>
      <c r="J8" s="3758"/>
      <c r="K8" s="3760"/>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62" t="s">
        <v>2352</v>
      </c>
      <c r="C9" s="3763"/>
      <c r="D9" s="2887">
        <f>ROUND(D6*E9,0)</f>
        <v>0</v>
      </c>
      <c r="E9" s="2891"/>
      <c r="F9" s="2892" t="s">
        <v>2353</v>
      </c>
      <c r="G9" s="2871"/>
      <c r="H9" s="2846"/>
      <c r="I9" s="2847"/>
      <c r="J9" s="3758"/>
      <c r="K9" s="3760"/>
      <c r="L9" s="2881" t="s">
        <v>2354</v>
      </c>
      <c r="M9" s="2882"/>
      <c r="N9" s="2858"/>
      <c r="O9" s="2883"/>
      <c r="P9" s="2883"/>
      <c r="Q9" s="2884">
        <v>365</v>
      </c>
      <c r="R9" s="2885">
        <f t="shared" si="0"/>
        <v>0</v>
      </c>
      <c r="S9" s="2839"/>
      <c r="T9" s="2839"/>
      <c r="U9" s="2839"/>
      <c r="V9" s="2847"/>
    </row>
    <row r="10" spans="1:22" s="2851" customFormat="1" ht="13.15" customHeight="1">
      <c r="A10" s="2886">
        <v>2</v>
      </c>
      <c r="B10" s="3762" t="s">
        <v>2355</v>
      </c>
      <c r="C10" s="3763"/>
      <c r="D10" s="2887">
        <f>ROUND(D6*E10,0)</f>
        <v>0</v>
      </c>
      <c r="E10" s="2891"/>
      <c r="F10" s="2892" t="s">
        <v>2356</v>
      </c>
      <c r="G10" s="2871"/>
      <c r="H10" s="2846"/>
      <c r="I10" s="2847"/>
      <c r="J10" s="3758"/>
      <c r="K10" s="3760"/>
      <c r="L10" s="2881" t="s">
        <v>2357</v>
      </c>
      <c r="M10" s="2882"/>
      <c r="N10" s="2858"/>
      <c r="O10" s="2883"/>
      <c r="P10" s="2883"/>
      <c r="Q10" s="2884">
        <v>365</v>
      </c>
      <c r="R10" s="2885">
        <f t="shared" si="0"/>
        <v>0</v>
      </c>
      <c r="S10" s="2839"/>
      <c r="T10" s="2839"/>
      <c r="U10" s="2839"/>
      <c r="V10" s="2847"/>
    </row>
    <row r="11" spans="1:22" s="2851" customFormat="1" ht="13.15" customHeight="1">
      <c r="A11" s="2886">
        <v>3</v>
      </c>
      <c r="B11" s="3762" t="s">
        <v>2358</v>
      </c>
      <c r="C11" s="3763"/>
      <c r="D11" s="2887">
        <f>D12+D14+D15+D16</f>
        <v>0</v>
      </c>
      <c r="E11" s="2893" t="e">
        <f>D11/D6</f>
        <v>#DIV/0!</v>
      </c>
      <c r="F11" s="2889"/>
      <c r="G11" s="2890"/>
      <c r="H11" s="2846"/>
      <c r="I11" s="2847"/>
      <c r="J11" s="3758"/>
      <c r="K11" s="3760"/>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64" t="s">
        <v>2361</v>
      </c>
      <c r="C12" s="3765"/>
      <c r="D12" s="2895">
        <f>ROUND(D13*1.2%*(1-30%),0)</f>
        <v>0</v>
      </c>
      <c r="E12" s="2896">
        <v>1.2E-2</v>
      </c>
      <c r="F12" s="2889" t="s">
        <v>2362</v>
      </c>
      <c r="G12" s="2890"/>
      <c r="H12" s="2846"/>
      <c r="I12" s="2847"/>
      <c r="J12" s="3758"/>
      <c r="K12" s="3760"/>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58"/>
      <c r="K13" s="3760"/>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64" t="s">
        <v>2367</v>
      </c>
      <c r="C14" s="3765"/>
      <c r="D14" s="2895">
        <f>ROUND(E14*B5/10000,0)</f>
        <v>0</v>
      </c>
      <c r="E14" s="2884"/>
      <c r="F14" s="2889" t="s">
        <v>2368</v>
      </c>
      <c r="G14" s="2890"/>
      <c r="H14" s="2846"/>
      <c r="I14" s="2847"/>
      <c r="J14" s="3758"/>
      <c r="K14" s="3761"/>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64" t="s">
        <v>2371</v>
      </c>
      <c r="C15" s="3765"/>
      <c r="D15" s="2895">
        <f>ROUND(D6*E15,0)</f>
        <v>0</v>
      </c>
      <c r="E15" s="2896">
        <v>5.5E-2</v>
      </c>
      <c r="F15" s="2889" t="s">
        <v>2372</v>
      </c>
      <c r="G15" s="2871"/>
      <c r="H15" s="2846"/>
      <c r="I15" s="2847"/>
      <c r="J15" s="3758">
        <v>2</v>
      </c>
      <c r="K15" s="3759"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64" t="s">
        <v>2380</v>
      </c>
      <c r="C16" s="3765"/>
      <c r="D16" s="2906">
        <f>D6*E16</f>
        <v>0</v>
      </c>
      <c r="E16" s="2907"/>
      <c r="F16" s="2892" t="s">
        <v>2381</v>
      </c>
      <c r="G16" s="2871"/>
      <c r="H16" s="2846"/>
      <c r="I16" s="2847"/>
      <c r="J16" s="3758"/>
      <c r="K16" s="3760"/>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66" t="s">
        <v>2383</v>
      </c>
      <c r="C17" s="3767"/>
      <c r="D17" s="2909">
        <f>ROUND(D6*E17,0)</f>
        <v>0</v>
      </c>
      <c r="E17" s="2910"/>
      <c r="F17" s="2911" t="s">
        <v>2384</v>
      </c>
      <c r="G17" s="2871"/>
      <c r="H17" s="2846"/>
      <c r="I17" s="2847"/>
      <c r="J17" s="3758"/>
      <c r="K17" s="3760"/>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58"/>
      <c r="K18" s="3760"/>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58"/>
      <c r="K19" s="3761"/>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8">
        <v>3</v>
      </c>
      <c r="K20" s="3759"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58"/>
      <c r="K21" s="3760"/>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58"/>
      <c r="K22" s="3760"/>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58"/>
      <c r="K23" s="3760"/>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58"/>
      <c r="K24" s="3761"/>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68">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6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51" t="s">
        <v>2316</v>
      </c>
      <c r="K32" s="3752"/>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53" t="s">
        <v>2326</v>
      </c>
      <c r="K33" s="3754"/>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53" t="s">
        <v>2328</v>
      </c>
      <c r="K34" s="37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58">
        <v>1</v>
      </c>
      <c r="K36" s="3759"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58"/>
      <c r="K37" s="3760"/>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8"/>
      <c r="K38" s="3760"/>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58"/>
      <c r="K39" s="3760"/>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58"/>
      <c r="K40" s="3761"/>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8">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6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95.767399999999995</v>
      </c>
      <c r="C2" s="1871" t="s">
        <v>1651</v>
      </c>
      <c r="D2" s="1872" t="s">
        <v>1652</v>
      </c>
      <c r="E2" s="2606">
        <f>SUM(E6:E13)</f>
        <v>109.19</v>
      </c>
      <c r="F2" s="2705"/>
      <c r="G2" s="1488"/>
      <c r="H2" s="1488"/>
      <c r="I2" s="1488"/>
      <c r="J2" s="1488"/>
      <c r="K2" s="1488"/>
      <c r="L2" s="1488"/>
      <c r="M2" s="1488"/>
      <c r="N2" s="1488"/>
      <c r="O2" s="1488"/>
      <c r="P2" s="1488"/>
      <c r="Q2" s="1488"/>
      <c r="R2" s="1488"/>
      <c r="S2" s="1488"/>
    </row>
    <row r="3" spans="1:22" ht="15.75">
      <c r="A3" s="1869" t="s">
        <v>686</v>
      </c>
      <c r="B3" s="2600">
        <f ca="1">ROUND(B2*10000/E2,0)</f>
        <v>8771</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70" t="s">
        <v>1654</v>
      </c>
      <c r="C5" s="3771"/>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95.767399999999995</v>
      </c>
      <c r="C6" s="1871" t="s">
        <v>1651</v>
      </c>
      <c r="D6" s="2707"/>
      <c r="E6" s="2605">
        <f>IF(OR(A6=0,F6="否"),0,'数据-取费表'!K6+'数据-取费表'!S6)</f>
        <v>109.19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109.19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21" t="s">
        <v>1667</v>
      </c>
      <c r="D4" s="3722"/>
      <c r="E4" s="3723" t="s">
        <v>1668</v>
      </c>
      <c r="F4" s="3724"/>
      <c r="G4" s="3721" t="s">
        <v>1669</v>
      </c>
      <c r="H4" s="3722"/>
      <c r="I4" s="3721" t="s">
        <v>1670</v>
      </c>
      <c r="J4" s="3722"/>
      <c r="K4" s="1888" t="s">
        <v>1671</v>
      </c>
      <c r="L4" s="2713"/>
      <c r="M4" s="2714"/>
      <c r="N4" s="2714"/>
      <c r="O4" s="2714"/>
      <c r="P4" s="3776" t="s">
        <v>1672</v>
      </c>
      <c r="Q4" s="3777"/>
      <c r="R4" s="3773" t="s">
        <v>1668</v>
      </c>
      <c r="S4" s="3774"/>
      <c r="T4" s="3773" t="s">
        <v>1669</v>
      </c>
      <c r="U4" s="3774"/>
      <c r="V4" s="3734" t="s">
        <v>1670</v>
      </c>
      <c r="W4" s="3734"/>
      <c r="X4" s="1354"/>
      <c r="Y4" s="3773" t="s">
        <v>1672</v>
      </c>
      <c r="Z4" s="3774"/>
      <c r="AA4" s="3772" t="s">
        <v>1668</v>
      </c>
      <c r="AB4" s="3772" t="s">
        <v>1669</v>
      </c>
      <c r="AC4" s="3772" t="s">
        <v>1670</v>
      </c>
    </row>
    <row r="5" spans="1:29" ht="15">
      <c r="A5" s="358"/>
      <c r="B5" s="359"/>
      <c r="C5" s="3709" t="s">
        <v>1673</v>
      </c>
      <c r="D5" s="3710"/>
      <c r="E5" s="3775" t="s">
        <v>1674</v>
      </c>
      <c r="F5" s="3708"/>
      <c r="G5" s="3709" t="s">
        <v>1675</v>
      </c>
      <c r="H5" s="3710"/>
      <c r="I5" s="3709" t="s">
        <v>1676</v>
      </c>
      <c r="J5" s="3710"/>
      <c r="K5" s="188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188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01" t="s">
        <v>1680</v>
      </c>
      <c r="Q7" s="3736"/>
      <c r="R7" s="700" t="s">
        <v>20</v>
      </c>
      <c r="S7" s="701">
        <f t="shared" ref="S7:S15" si="0">F7</f>
        <v>0</v>
      </c>
      <c r="T7" s="700" t="s">
        <v>20</v>
      </c>
      <c r="U7" s="701">
        <f t="shared" ref="U7:U15" si="1">H7</f>
        <v>0</v>
      </c>
      <c r="V7" s="700" t="s">
        <v>20</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01" t="s">
        <v>1683</v>
      </c>
      <c r="Q8" s="3702"/>
      <c r="R8" s="700" t="s">
        <v>20</v>
      </c>
      <c r="S8" s="701">
        <f t="shared" si="0"/>
        <v>100</v>
      </c>
      <c r="T8" s="700" t="s">
        <v>20</v>
      </c>
      <c r="U8" s="701">
        <f t="shared" si="1"/>
        <v>100</v>
      </c>
      <c r="V8" s="700" t="s">
        <v>20</v>
      </c>
      <c r="W8" s="701">
        <f t="shared" si="2"/>
        <v>100</v>
      </c>
      <c r="X8" s="702"/>
      <c r="Y8" s="3701" t="s">
        <v>1683</v>
      </c>
      <c r="Z8" s="370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7"/>
      <c r="Q11" s="1342" t="str">
        <f t="shared" si="6"/>
        <v>容积率</v>
      </c>
      <c r="R11" s="700" t="s">
        <v>18</v>
      </c>
      <c r="S11" s="701" t="e">
        <f t="shared" si="0"/>
        <v>#N/A</v>
      </c>
      <c r="T11" s="700" t="s">
        <v>18</v>
      </c>
      <c r="U11" s="701" t="e">
        <f t="shared" si="1"/>
        <v>#N/A</v>
      </c>
      <c r="V11" s="700" t="s">
        <v>18</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7"/>
      <c r="Q12" s="1342">
        <f t="shared" si="6"/>
        <v>111</v>
      </c>
      <c r="R12" s="700" t="s">
        <v>18</v>
      </c>
      <c r="S12" s="701">
        <f t="shared" si="0"/>
        <v>100</v>
      </c>
      <c r="T12" s="700" t="s">
        <v>18</v>
      </c>
      <c r="U12" s="701">
        <f t="shared" si="1"/>
        <v>100</v>
      </c>
      <c r="V12" s="700" t="s">
        <v>18</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7"/>
      <c r="Q13" s="1342">
        <f t="shared" si="6"/>
        <v>111</v>
      </c>
      <c r="R13" s="700" t="s">
        <v>18</v>
      </c>
      <c r="S13" s="701">
        <f t="shared" si="0"/>
        <v>100</v>
      </c>
      <c r="T13" s="700" t="s">
        <v>18</v>
      </c>
      <c r="U13" s="701">
        <f t="shared" si="1"/>
        <v>100</v>
      </c>
      <c r="V13" s="700" t="s">
        <v>18</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7"/>
      <c r="Q14" s="1342">
        <f t="shared" si="6"/>
        <v>111</v>
      </c>
      <c r="R14" s="700" t="s">
        <v>18</v>
      </c>
      <c r="S14" s="701">
        <f t="shared" si="0"/>
        <v>100</v>
      </c>
      <c r="T14" s="700" t="s">
        <v>18</v>
      </c>
      <c r="U14" s="701">
        <f t="shared" si="1"/>
        <v>100</v>
      </c>
      <c r="V14" s="700" t="s">
        <v>18</v>
      </c>
      <c r="W14" s="701">
        <f t="shared" si="2"/>
        <v>100</v>
      </c>
      <c r="X14" s="702"/>
      <c r="Y14" s="364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7" t="s">
        <v>1691</v>
      </c>
      <c r="Q15" s="1351" t="str">
        <f t="shared" si="6"/>
        <v>居住社区成熟度</v>
      </c>
      <c r="R15" s="704" t="s">
        <v>18</v>
      </c>
      <c r="S15" s="705">
        <f t="shared" si="0"/>
        <v>100</v>
      </c>
      <c r="T15" s="704" t="s">
        <v>18</v>
      </c>
      <c r="U15" s="705">
        <f t="shared" si="1"/>
        <v>100</v>
      </c>
      <c r="V15" s="704" t="s">
        <v>18</v>
      </c>
      <c r="W15" s="705">
        <f t="shared" si="2"/>
        <v>100</v>
      </c>
      <c r="X15" s="1354"/>
      <c r="Y15" s="373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38"/>
      <c r="Q16" s="1351"/>
      <c r="R16" s="704"/>
      <c r="S16" s="705"/>
      <c r="T16" s="704"/>
      <c r="U16" s="705"/>
      <c r="V16" s="704"/>
      <c r="W16" s="705"/>
      <c r="X16" s="1354"/>
      <c r="Y16" s="374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8"/>
      <c r="Q17" s="1351" t="str">
        <f>B17</f>
        <v>交通便捷度</v>
      </c>
      <c r="R17" s="704" t="s">
        <v>18</v>
      </c>
      <c r="S17" s="705">
        <f>F17</f>
        <v>100</v>
      </c>
      <c r="T17" s="704" t="s">
        <v>18</v>
      </c>
      <c r="U17" s="705">
        <f>H17</f>
        <v>100</v>
      </c>
      <c r="V17" s="704" t="s">
        <v>18</v>
      </c>
      <c r="W17" s="705">
        <f>J17</f>
        <v>100</v>
      </c>
      <c r="X17" s="1354"/>
      <c r="Y17" s="374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38"/>
      <c r="Q18" s="1351"/>
      <c r="R18" s="704"/>
      <c r="S18" s="705"/>
      <c r="T18" s="704"/>
      <c r="U18" s="705"/>
      <c r="V18" s="704"/>
      <c r="W18" s="705"/>
      <c r="X18" s="1354"/>
      <c r="Y18" s="374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8"/>
      <c r="Q19" s="1351" t="str">
        <f>B19</f>
        <v>公共配套设施</v>
      </c>
      <c r="R19" s="704" t="s">
        <v>18</v>
      </c>
      <c r="S19" s="705">
        <f>F19</f>
        <v>100</v>
      </c>
      <c r="T19" s="704" t="s">
        <v>18</v>
      </c>
      <c r="U19" s="705">
        <f>H19</f>
        <v>100</v>
      </c>
      <c r="V19" s="704" t="s">
        <v>18</v>
      </c>
      <c r="W19" s="705">
        <f>J19</f>
        <v>100</v>
      </c>
      <c r="X19" s="1354"/>
      <c r="Y19" s="374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38"/>
      <c r="Q20" s="1351"/>
      <c r="R20" s="704"/>
      <c r="S20" s="705"/>
      <c r="T20" s="704"/>
      <c r="U20" s="705"/>
      <c r="V20" s="704"/>
      <c r="W20" s="705"/>
      <c r="X20" s="1354"/>
      <c r="Y20" s="374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8"/>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38"/>
      <c r="Q22" s="1351"/>
      <c r="R22" s="704"/>
      <c r="S22" s="705"/>
      <c r="T22" s="704"/>
      <c r="U22" s="705"/>
      <c r="V22" s="704"/>
      <c r="W22" s="705"/>
      <c r="X22" s="1354"/>
      <c r="Y22" s="374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8"/>
      <c r="Q23" s="1351" t="str">
        <f>B23</f>
        <v>自然及人文环境</v>
      </c>
      <c r="R23" s="704" t="s">
        <v>18</v>
      </c>
      <c r="S23" s="705">
        <f>F23</f>
        <v>100</v>
      </c>
      <c r="T23" s="704" t="s">
        <v>18</v>
      </c>
      <c r="U23" s="705">
        <f>H23</f>
        <v>100</v>
      </c>
      <c r="V23" s="704" t="s">
        <v>18</v>
      </c>
      <c r="W23" s="705">
        <f>J23</f>
        <v>100</v>
      </c>
      <c r="X23" s="1354"/>
      <c r="Y23" s="374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38"/>
      <c r="Q24" s="1351"/>
      <c r="R24" s="704"/>
      <c r="S24" s="705"/>
      <c r="T24" s="704"/>
      <c r="U24" s="705"/>
      <c r="V24" s="704"/>
      <c r="W24" s="705"/>
      <c r="X24" s="1354"/>
      <c r="Y24" s="374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4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38"/>
      <c r="Q26" s="1351" t="str">
        <f t="shared" si="11"/>
        <v>朝向</v>
      </c>
      <c r="R26" s="704" t="s">
        <v>18</v>
      </c>
      <c r="S26" s="705">
        <f t="shared" si="12"/>
        <v>100</v>
      </c>
      <c r="T26" s="704" t="s">
        <v>18</v>
      </c>
      <c r="U26" s="705">
        <f t="shared" si="13"/>
        <v>100</v>
      </c>
      <c r="V26" s="704" t="s">
        <v>18</v>
      </c>
      <c r="W26" s="705">
        <f t="shared" si="14"/>
        <v>100</v>
      </c>
      <c r="X26" s="1354"/>
      <c r="Y26" s="374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8"/>
      <c r="Q27" s="1342">
        <f t="shared" si="11"/>
        <v>111</v>
      </c>
      <c r="R27" s="700" t="s">
        <v>18</v>
      </c>
      <c r="S27" s="701">
        <f t="shared" si="12"/>
        <v>100</v>
      </c>
      <c r="T27" s="700" t="s">
        <v>18</v>
      </c>
      <c r="U27" s="701">
        <f t="shared" si="13"/>
        <v>100</v>
      </c>
      <c r="V27" s="700" t="s">
        <v>18</v>
      </c>
      <c r="W27" s="701">
        <f t="shared" si="14"/>
        <v>100</v>
      </c>
      <c r="X27" s="702"/>
      <c r="Y27" s="374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8"/>
      <c r="Q28" s="1351">
        <f t="shared" si="11"/>
        <v>111</v>
      </c>
      <c r="R28" s="704" t="s">
        <v>18</v>
      </c>
      <c r="S28" s="705">
        <f t="shared" si="12"/>
        <v>100</v>
      </c>
      <c r="T28" s="704" t="s">
        <v>18</v>
      </c>
      <c r="U28" s="705">
        <f t="shared" si="13"/>
        <v>100</v>
      </c>
      <c r="V28" s="704" t="s">
        <v>18</v>
      </c>
      <c r="W28" s="705">
        <f t="shared" si="14"/>
        <v>100</v>
      </c>
      <c r="X28" s="1354"/>
      <c r="Y28" s="374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8"/>
      <c r="Q29" s="1351">
        <f t="shared" si="11"/>
        <v>111</v>
      </c>
      <c r="R29" s="704" t="s">
        <v>18</v>
      </c>
      <c r="S29" s="705">
        <f t="shared" si="12"/>
        <v>100</v>
      </c>
      <c r="T29" s="704" t="s">
        <v>18</v>
      </c>
      <c r="U29" s="705">
        <f t="shared" si="13"/>
        <v>100</v>
      </c>
      <c r="V29" s="704" t="s">
        <v>18</v>
      </c>
      <c r="W29" s="705">
        <f t="shared" si="14"/>
        <v>100</v>
      </c>
      <c r="X29" s="1354"/>
      <c r="Y29" s="374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8"/>
      <c r="Q30" s="1351">
        <f t="shared" si="11"/>
        <v>111</v>
      </c>
      <c r="R30" s="704" t="s">
        <v>18</v>
      </c>
      <c r="S30" s="705">
        <f t="shared" si="12"/>
        <v>100</v>
      </c>
      <c r="T30" s="704" t="s">
        <v>18</v>
      </c>
      <c r="U30" s="705">
        <f t="shared" si="13"/>
        <v>100</v>
      </c>
      <c r="V30" s="704" t="s">
        <v>18</v>
      </c>
      <c r="W30" s="705">
        <f t="shared" si="14"/>
        <v>100</v>
      </c>
      <c r="X30" s="1354"/>
      <c r="Y30" s="374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8"/>
      <c r="Q31" s="1351">
        <f t="shared" si="11"/>
        <v>111</v>
      </c>
      <c r="R31" s="704" t="s">
        <v>18</v>
      </c>
      <c r="S31" s="705">
        <f t="shared" si="12"/>
        <v>100</v>
      </c>
      <c r="T31" s="704" t="s">
        <v>18</v>
      </c>
      <c r="U31" s="705">
        <f t="shared" si="13"/>
        <v>100</v>
      </c>
      <c r="V31" s="704" t="s">
        <v>18</v>
      </c>
      <c r="W31" s="705">
        <f t="shared" si="14"/>
        <v>100</v>
      </c>
      <c r="X31" s="1354"/>
      <c r="Y31" s="374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41" t="s">
        <v>1696</v>
      </c>
      <c r="Q32" s="1351" t="str">
        <f t="shared" si="11"/>
        <v>建筑类型</v>
      </c>
      <c r="R32" s="704" t="s">
        <v>18</v>
      </c>
      <c r="S32" s="705">
        <f t="shared" si="12"/>
        <v>100</v>
      </c>
      <c r="T32" s="704" t="s">
        <v>18</v>
      </c>
      <c r="U32" s="705">
        <f t="shared" si="13"/>
        <v>100</v>
      </c>
      <c r="V32" s="704" t="s">
        <v>18</v>
      </c>
      <c r="W32" s="705">
        <f t="shared" si="14"/>
        <v>100</v>
      </c>
      <c r="X32" s="1354"/>
      <c r="Y32" s="374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42"/>
      <c r="Q33" s="706" t="str">
        <f t="shared" si="11"/>
        <v>项目建筑规模</v>
      </c>
      <c r="R33" s="707" t="s">
        <v>18</v>
      </c>
      <c r="S33" s="708" t="e">
        <f t="shared" si="12"/>
        <v>#N/A</v>
      </c>
      <c r="T33" s="707" t="s">
        <v>18</v>
      </c>
      <c r="U33" s="708" t="e">
        <f t="shared" si="13"/>
        <v>#N/A</v>
      </c>
      <c r="V33" s="707" t="s">
        <v>18</v>
      </c>
      <c r="W33" s="708" t="e">
        <f t="shared" si="14"/>
        <v>#N/A</v>
      </c>
      <c r="X33" s="709"/>
      <c r="Y33" s="374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42"/>
      <c r="Q34" s="1351" t="str">
        <f t="shared" si="11"/>
        <v>建筑结构</v>
      </c>
      <c r="R34" s="704" t="s">
        <v>18</v>
      </c>
      <c r="S34" s="705">
        <f t="shared" si="12"/>
        <v>100</v>
      </c>
      <c r="T34" s="704" t="s">
        <v>18</v>
      </c>
      <c r="U34" s="705">
        <f t="shared" si="13"/>
        <v>100</v>
      </c>
      <c r="V34" s="704" t="s">
        <v>18</v>
      </c>
      <c r="W34" s="705">
        <f t="shared" si="14"/>
        <v>100</v>
      </c>
      <c r="X34" s="1354"/>
      <c r="Y34" s="374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42"/>
      <c r="Q35" s="1351" t="str">
        <f t="shared" si="11"/>
        <v>建筑品质</v>
      </c>
      <c r="R35" s="704" t="s">
        <v>18</v>
      </c>
      <c r="S35" s="705">
        <f t="shared" si="12"/>
        <v>100</v>
      </c>
      <c r="T35" s="704" t="s">
        <v>18</v>
      </c>
      <c r="U35" s="705">
        <f t="shared" si="13"/>
        <v>100</v>
      </c>
      <c r="V35" s="704" t="s">
        <v>18</v>
      </c>
      <c r="W35" s="705">
        <f t="shared" si="14"/>
        <v>100</v>
      </c>
      <c r="X35" s="1354"/>
      <c r="Y35" s="374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42"/>
      <c r="Q36" s="1351" t="str">
        <f t="shared" si="11"/>
        <v>公共部分装修</v>
      </c>
      <c r="R36" s="704" t="s">
        <v>18</v>
      </c>
      <c r="S36" s="705">
        <f t="shared" si="12"/>
        <v>100</v>
      </c>
      <c r="T36" s="704" t="s">
        <v>18</v>
      </c>
      <c r="U36" s="705">
        <f t="shared" si="13"/>
        <v>100</v>
      </c>
      <c r="V36" s="704" t="s">
        <v>18</v>
      </c>
      <c r="W36" s="705">
        <f t="shared" si="14"/>
        <v>100</v>
      </c>
      <c r="X36" s="1354"/>
      <c r="Y36" s="374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42"/>
      <c r="Q37" s="1342" t="str">
        <f t="shared" si="11"/>
        <v>成新度</v>
      </c>
      <c r="R37" s="700" t="s">
        <v>18</v>
      </c>
      <c r="S37" s="701" t="e">
        <f t="shared" si="12"/>
        <v>#N/A</v>
      </c>
      <c r="T37" s="700" t="s">
        <v>18</v>
      </c>
      <c r="U37" s="701" t="e">
        <f t="shared" si="13"/>
        <v>#N/A</v>
      </c>
      <c r="V37" s="700" t="s">
        <v>18</v>
      </c>
      <c r="W37" s="701" t="e">
        <f t="shared" si="14"/>
        <v>#N/A</v>
      </c>
      <c r="X37" s="702"/>
      <c r="Y37" s="374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42" t="s">
        <v>1696</v>
      </c>
      <c r="Q38" s="1351" t="str">
        <f t="shared" si="11"/>
        <v>物业管理</v>
      </c>
      <c r="R38" s="704" t="s">
        <v>18</v>
      </c>
      <c r="S38" s="705">
        <f t="shared" si="12"/>
        <v>100</v>
      </c>
      <c r="T38" s="704" t="s">
        <v>18</v>
      </c>
      <c r="U38" s="705">
        <f t="shared" si="13"/>
        <v>100</v>
      </c>
      <c r="V38" s="704" t="s">
        <v>18</v>
      </c>
      <c r="W38" s="705">
        <f t="shared" si="14"/>
        <v>100</v>
      </c>
      <c r="X38" s="1354"/>
      <c r="Y38" s="374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42"/>
      <c r="Q39" s="1351" t="str">
        <f t="shared" si="11"/>
        <v>市政基础设施</v>
      </c>
      <c r="R39" s="704" t="s">
        <v>18</v>
      </c>
      <c r="S39" s="705">
        <f t="shared" si="12"/>
        <v>100</v>
      </c>
      <c r="T39" s="704" t="s">
        <v>18</v>
      </c>
      <c r="U39" s="705">
        <f t="shared" si="13"/>
        <v>100</v>
      </c>
      <c r="V39" s="704" t="s">
        <v>18</v>
      </c>
      <c r="W39" s="705">
        <f t="shared" si="14"/>
        <v>100</v>
      </c>
      <c r="X39" s="1354"/>
      <c r="Y39" s="374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42"/>
      <c r="Q40" s="1351" t="str">
        <f t="shared" si="11"/>
        <v>房型</v>
      </c>
      <c r="R40" s="704" t="s">
        <v>18</v>
      </c>
      <c r="S40" s="705">
        <f t="shared" si="12"/>
        <v>100</v>
      </c>
      <c r="T40" s="704" t="s">
        <v>18</v>
      </c>
      <c r="U40" s="705">
        <f t="shared" si="13"/>
        <v>100</v>
      </c>
      <c r="V40" s="704" t="s">
        <v>18</v>
      </c>
      <c r="W40" s="705">
        <f t="shared" si="14"/>
        <v>100</v>
      </c>
      <c r="X40" s="1354"/>
      <c r="Y40" s="374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42"/>
      <c r="Q41" s="706" t="str">
        <f t="shared" si="11"/>
        <v>单套/主力户型建筑面积</v>
      </c>
      <c r="R41" s="707" t="s">
        <v>18</v>
      </c>
      <c r="S41" s="708">
        <f t="shared" si="12"/>
        <v>100</v>
      </c>
      <c r="T41" s="707" t="s">
        <v>18</v>
      </c>
      <c r="U41" s="708">
        <f t="shared" si="13"/>
        <v>100</v>
      </c>
      <c r="V41" s="707" t="s">
        <v>18</v>
      </c>
      <c r="W41" s="708">
        <f t="shared" si="14"/>
        <v>100</v>
      </c>
      <c r="X41" s="709"/>
      <c r="Y41" s="374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42"/>
      <c r="Q42" s="1351" t="str">
        <f t="shared" si="11"/>
        <v>内部装修</v>
      </c>
      <c r="R42" s="704" t="s">
        <v>18</v>
      </c>
      <c r="S42" s="705">
        <f t="shared" si="12"/>
        <v>100</v>
      </c>
      <c r="T42" s="704" t="s">
        <v>18</v>
      </c>
      <c r="U42" s="705">
        <f t="shared" si="13"/>
        <v>100</v>
      </c>
      <c r="V42" s="704" t="s">
        <v>18</v>
      </c>
      <c r="W42" s="705">
        <f t="shared" si="14"/>
        <v>100</v>
      </c>
      <c r="X42" s="1354"/>
      <c r="Y42" s="374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42"/>
      <c r="Q43" s="1351" t="str">
        <f t="shared" si="11"/>
        <v>内部装修维护情况</v>
      </c>
      <c r="R43" s="704" t="s">
        <v>18</v>
      </c>
      <c r="S43" s="705">
        <f t="shared" si="12"/>
        <v>100</v>
      </c>
      <c r="T43" s="704" t="s">
        <v>18</v>
      </c>
      <c r="U43" s="705">
        <f t="shared" si="13"/>
        <v>100</v>
      </c>
      <c r="V43" s="704" t="s">
        <v>18</v>
      </c>
      <c r="W43" s="705">
        <f t="shared" si="14"/>
        <v>100</v>
      </c>
      <c r="X43" s="1354"/>
      <c r="Y43" s="374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42"/>
      <c r="Q44" s="1342">
        <f t="shared" si="11"/>
        <v>111</v>
      </c>
      <c r="R44" s="700" t="s">
        <v>18</v>
      </c>
      <c r="S44" s="701">
        <f t="shared" si="12"/>
        <v>100</v>
      </c>
      <c r="T44" s="700" t="s">
        <v>18</v>
      </c>
      <c r="U44" s="701">
        <f t="shared" si="13"/>
        <v>100</v>
      </c>
      <c r="V44" s="700" t="s">
        <v>18</v>
      </c>
      <c r="W44" s="701">
        <f t="shared" si="14"/>
        <v>100</v>
      </c>
      <c r="X44" s="702"/>
      <c r="Y44" s="374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42"/>
      <c r="Q45" s="1351">
        <f t="shared" si="11"/>
        <v>111</v>
      </c>
      <c r="R45" s="704" t="s">
        <v>18</v>
      </c>
      <c r="S45" s="705">
        <f t="shared" si="12"/>
        <v>100</v>
      </c>
      <c r="T45" s="704" t="s">
        <v>18</v>
      </c>
      <c r="U45" s="705">
        <f t="shared" si="13"/>
        <v>100</v>
      </c>
      <c r="V45" s="704" t="s">
        <v>18</v>
      </c>
      <c r="W45" s="705">
        <f t="shared" si="14"/>
        <v>100</v>
      </c>
      <c r="X45" s="1354"/>
      <c r="Y45" s="374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3"/>
      <c r="Q46" s="1351">
        <f t="shared" si="11"/>
        <v>111</v>
      </c>
      <c r="R46" s="704" t="s">
        <v>17</v>
      </c>
      <c r="S46" s="705">
        <f t="shared" si="12"/>
        <v>100</v>
      </c>
      <c r="T46" s="704" t="s">
        <v>17</v>
      </c>
      <c r="U46" s="705">
        <f t="shared" si="13"/>
        <v>100</v>
      </c>
      <c r="V46" s="704" t="s">
        <v>17</v>
      </c>
      <c r="W46" s="705">
        <f t="shared" si="14"/>
        <v>100</v>
      </c>
      <c r="X46" s="1354"/>
      <c r="Y46" s="374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46" t="str">
        <f>A47</f>
        <v>成交单价（元/平方米）</v>
      </c>
      <c r="Q47" s="3746"/>
      <c r="R47" s="3747">
        <f>E47</f>
        <v>0</v>
      </c>
      <c r="S47" s="3747"/>
      <c r="T47" s="3747">
        <f>G47</f>
        <v>0</v>
      </c>
      <c r="U47" s="3747"/>
      <c r="V47" s="3747">
        <f>I47</f>
        <v>0</v>
      </c>
      <c r="W47" s="374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109.19</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734"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734"/>
      <c r="AC5" s="3699"/>
    </row>
    <row r="6" spans="1:29"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34"/>
      <c r="AC6" s="3700"/>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1" t="s">
        <v>1683</v>
      </c>
      <c r="Q8" s="3702"/>
      <c r="R8" s="700" t="s">
        <v>14</v>
      </c>
      <c r="S8" s="701">
        <f t="shared" si="0"/>
        <v>100</v>
      </c>
      <c r="T8" s="700" t="s">
        <v>14</v>
      </c>
      <c r="U8" s="701">
        <f t="shared" si="1"/>
        <v>100</v>
      </c>
      <c r="V8" s="700" t="s">
        <v>14</v>
      </c>
      <c r="W8" s="701">
        <f t="shared" si="2"/>
        <v>100</v>
      </c>
      <c r="X8" s="702"/>
      <c r="Y8" s="3701" t="s">
        <v>1683</v>
      </c>
      <c r="Z8" s="3702"/>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7"/>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7"/>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7"/>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7"/>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7" t="s">
        <v>1691</v>
      </c>
      <c r="Q15" s="1351" t="str">
        <f t="shared" si="6"/>
        <v>商业繁华度</v>
      </c>
      <c r="R15" s="704" t="s">
        <v>14</v>
      </c>
      <c r="S15" s="705">
        <f t="shared" si="0"/>
        <v>100</v>
      </c>
      <c r="T15" s="704" t="s">
        <v>14</v>
      </c>
      <c r="U15" s="705">
        <f t="shared" si="1"/>
        <v>100</v>
      </c>
      <c r="V15" s="704" t="s">
        <v>14</v>
      </c>
      <c r="W15" s="705">
        <f t="shared" si="2"/>
        <v>100</v>
      </c>
      <c r="X15" s="1354"/>
      <c r="Y15" s="373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8"/>
      <c r="Q16" s="1351"/>
      <c r="R16" s="704"/>
      <c r="S16" s="705"/>
      <c r="T16" s="704"/>
      <c r="U16" s="705"/>
      <c r="V16" s="704"/>
      <c r="W16" s="705"/>
      <c r="X16" s="1354"/>
      <c r="Y16" s="374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8"/>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38"/>
      <c r="Q18" s="1351"/>
      <c r="R18" s="704"/>
      <c r="S18" s="705"/>
      <c r="T18" s="704"/>
      <c r="U18" s="705"/>
      <c r="V18" s="704"/>
      <c r="W18" s="705"/>
      <c r="X18" s="1354"/>
      <c r="Y18" s="374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8"/>
      <c r="Q19" s="1351" t="str">
        <f>B19</f>
        <v>公共配套设施</v>
      </c>
      <c r="R19" s="704" t="s">
        <v>14</v>
      </c>
      <c r="S19" s="705">
        <f>F19</f>
        <v>100</v>
      </c>
      <c r="T19" s="704" t="s">
        <v>14</v>
      </c>
      <c r="U19" s="705">
        <f>H19</f>
        <v>100</v>
      </c>
      <c r="V19" s="704" t="s">
        <v>14</v>
      </c>
      <c r="W19" s="705">
        <f>J19</f>
        <v>100</v>
      </c>
      <c r="X19" s="1354"/>
      <c r="Y19" s="374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38"/>
      <c r="Q20" s="1351"/>
      <c r="R20" s="704"/>
      <c r="S20" s="705"/>
      <c r="T20" s="704"/>
      <c r="U20" s="705"/>
      <c r="V20" s="704"/>
      <c r="W20" s="705"/>
      <c r="X20" s="1354"/>
      <c r="Y20" s="374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8"/>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38"/>
      <c r="Q22" s="1351"/>
      <c r="R22" s="704"/>
      <c r="S22" s="705"/>
      <c r="T22" s="704"/>
      <c r="U22" s="705"/>
      <c r="V22" s="704"/>
      <c r="W22" s="705"/>
      <c r="X22" s="1354"/>
      <c r="Y22" s="374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8"/>
      <c r="Q23" s="1351" t="str">
        <f>B23</f>
        <v>自然及人文环境</v>
      </c>
      <c r="R23" s="704" t="s">
        <v>14</v>
      </c>
      <c r="S23" s="705">
        <f>F23</f>
        <v>100</v>
      </c>
      <c r="T23" s="704" t="s">
        <v>14</v>
      </c>
      <c r="U23" s="705">
        <f>H23</f>
        <v>100</v>
      </c>
      <c r="V23" s="704" t="s">
        <v>14</v>
      </c>
      <c r="W23" s="705">
        <f>J23</f>
        <v>100</v>
      </c>
      <c r="X23" s="1354"/>
      <c r="Y23" s="374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38"/>
      <c r="Q24" s="1351"/>
      <c r="R24" s="704"/>
      <c r="S24" s="705"/>
      <c r="T24" s="704"/>
      <c r="U24" s="705"/>
      <c r="V24" s="704"/>
      <c r="W24" s="705"/>
      <c r="X24" s="1354"/>
      <c r="Y24" s="374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8"/>
      <c r="Q25" s="1351" t="str">
        <f t="shared" ref="Q25:Q46" si="11">B25</f>
        <v>临街状况</v>
      </c>
      <c r="R25" s="704" t="s">
        <v>14</v>
      </c>
      <c r="S25" s="705">
        <f>F25</f>
        <v>100</v>
      </c>
      <c r="T25" s="704" t="s">
        <v>14</v>
      </c>
      <c r="U25" s="705">
        <f>H25</f>
        <v>100</v>
      </c>
      <c r="V25" s="704" t="s">
        <v>14</v>
      </c>
      <c r="W25" s="705">
        <f>J25</f>
        <v>100</v>
      </c>
      <c r="X25" s="1354"/>
      <c r="Y25" s="374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8"/>
      <c r="Q26" s="1351" t="str">
        <f t="shared" si="11"/>
        <v>平面位置/可视性</v>
      </c>
      <c r="R26" s="704" t="s">
        <v>14</v>
      </c>
      <c r="S26" s="705">
        <f>F26</f>
        <v>100</v>
      </c>
      <c r="T26" s="704" t="s">
        <v>14</v>
      </c>
      <c r="U26" s="705">
        <f>H26</f>
        <v>100</v>
      </c>
      <c r="V26" s="704" t="s">
        <v>14</v>
      </c>
      <c r="W26" s="705">
        <f>J26</f>
        <v>100</v>
      </c>
      <c r="X26" s="1354"/>
      <c r="Y26" s="374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8"/>
      <c r="Q27" s="1342" t="str">
        <f t="shared" si="11"/>
        <v>人流量</v>
      </c>
      <c r="R27" s="700" t="s">
        <v>14</v>
      </c>
      <c r="S27" s="701">
        <f>F27</f>
        <v>100</v>
      </c>
      <c r="T27" s="700" t="s">
        <v>14</v>
      </c>
      <c r="U27" s="701">
        <f>H27</f>
        <v>100</v>
      </c>
      <c r="V27" s="700" t="s">
        <v>14</v>
      </c>
      <c r="W27" s="701">
        <f>J27</f>
        <v>100</v>
      </c>
      <c r="X27" s="702"/>
      <c r="Y27" s="374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4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8"/>
      <c r="Q29" s="1351">
        <f t="shared" si="11"/>
        <v>111</v>
      </c>
      <c r="R29" s="704" t="s">
        <v>14</v>
      </c>
      <c r="S29" s="705">
        <f t="shared" si="12"/>
        <v>100</v>
      </c>
      <c r="T29" s="704" t="s">
        <v>14</v>
      </c>
      <c r="U29" s="705">
        <f t="shared" si="13"/>
        <v>100</v>
      </c>
      <c r="V29" s="704" t="s">
        <v>14</v>
      </c>
      <c r="W29" s="705">
        <f t="shared" si="14"/>
        <v>100</v>
      </c>
      <c r="X29" s="1354"/>
      <c r="Y29" s="374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8"/>
      <c r="Q30" s="1351">
        <f t="shared" si="11"/>
        <v>111</v>
      </c>
      <c r="R30" s="704" t="s">
        <v>14</v>
      </c>
      <c r="S30" s="705">
        <f t="shared" si="12"/>
        <v>100</v>
      </c>
      <c r="T30" s="704" t="s">
        <v>14</v>
      </c>
      <c r="U30" s="705">
        <f t="shared" si="13"/>
        <v>100</v>
      </c>
      <c r="V30" s="704" t="s">
        <v>14</v>
      </c>
      <c r="W30" s="705">
        <f t="shared" si="14"/>
        <v>100</v>
      </c>
      <c r="X30" s="1354"/>
      <c r="Y30" s="374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8"/>
      <c r="Q31" s="1351">
        <f t="shared" si="11"/>
        <v>111</v>
      </c>
      <c r="R31" s="704" t="s">
        <v>14</v>
      </c>
      <c r="S31" s="705">
        <f t="shared" si="12"/>
        <v>100</v>
      </c>
      <c r="T31" s="704" t="s">
        <v>14</v>
      </c>
      <c r="U31" s="705">
        <f t="shared" si="13"/>
        <v>100</v>
      </c>
      <c r="V31" s="704" t="s">
        <v>14</v>
      </c>
      <c r="W31" s="705">
        <f t="shared" si="14"/>
        <v>100</v>
      </c>
      <c r="X31" s="1354"/>
      <c r="Y31" s="374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41" t="s">
        <v>1696</v>
      </c>
      <c r="Q32" s="1351" t="str">
        <f t="shared" si="11"/>
        <v>商业类型</v>
      </c>
      <c r="R32" s="704" t="s">
        <v>14</v>
      </c>
      <c r="S32" s="705">
        <f t="shared" si="12"/>
        <v>100</v>
      </c>
      <c r="T32" s="704" t="s">
        <v>14</v>
      </c>
      <c r="U32" s="705">
        <f t="shared" si="13"/>
        <v>100</v>
      </c>
      <c r="V32" s="704" t="s">
        <v>14</v>
      </c>
      <c r="W32" s="705">
        <f t="shared" si="14"/>
        <v>100</v>
      </c>
      <c r="X32" s="1354"/>
      <c r="Y32" s="374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42"/>
      <c r="Q33" s="706" t="str">
        <f t="shared" si="11"/>
        <v>项目建筑规模</v>
      </c>
      <c r="R33" s="707" t="s">
        <v>14</v>
      </c>
      <c r="S33" s="708" t="e">
        <f t="shared" si="12"/>
        <v>#N/A</v>
      </c>
      <c r="T33" s="707" t="s">
        <v>14</v>
      </c>
      <c r="U33" s="708" t="e">
        <f t="shared" si="13"/>
        <v>#N/A</v>
      </c>
      <c r="V33" s="707" t="s">
        <v>14</v>
      </c>
      <c r="W33" s="708" t="e">
        <f t="shared" si="14"/>
        <v>#N/A</v>
      </c>
      <c r="X33" s="709"/>
      <c r="Y33" s="3744"/>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42"/>
      <c r="Q34" s="1351" t="str">
        <f t="shared" si="11"/>
        <v>建筑结构</v>
      </c>
      <c r="R34" s="704" t="s">
        <v>14</v>
      </c>
      <c r="S34" s="705">
        <f t="shared" si="12"/>
        <v>100</v>
      </c>
      <c r="T34" s="704" t="s">
        <v>14</v>
      </c>
      <c r="U34" s="705">
        <f t="shared" si="13"/>
        <v>100</v>
      </c>
      <c r="V34" s="704" t="s">
        <v>14</v>
      </c>
      <c r="W34" s="705">
        <f t="shared" si="14"/>
        <v>100</v>
      </c>
      <c r="X34" s="1354"/>
      <c r="Y34" s="374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42"/>
      <c r="Q35" s="1351" t="str">
        <f t="shared" si="11"/>
        <v>公共部分装修</v>
      </c>
      <c r="R35" s="704" t="s">
        <v>14</v>
      </c>
      <c r="S35" s="705">
        <f t="shared" si="12"/>
        <v>100</v>
      </c>
      <c r="T35" s="704" t="s">
        <v>14</v>
      </c>
      <c r="U35" s="705">
        <f t="shared" si="13"/>
        <v>100</v>
      </c>
      <c r="V35" s="704" t="s">
        <v>14</v>
      </c>
      <c r="W35" s="705">
        <f t="shared" si="14"/>
        <v>100</v>
      </c>
      <c r="X35" s="1354"/>
      <c r="Y35" s="374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42"/>
      <c r="Q36" s="1351" t="str">
        <f t="shared" si="11"/>
        <v>成新度</v>
      </c>
      <c r="R36" s="704" t="s">
        <v>14</v>
      </c>
      <c r="S36" s="705" t="e">
        <f t="shared" si="12"/>
        <v>#N/A</v>
      </c>
      <c r="T36" s="704" t="s">
        <v>14</v>
      </c>
      <c r="U36" s="705" t="e">
        <f t="shared" si="13"/>
        <v>#N/A</v>
      </c>
      <c r="V36" s="704" t="s">
        <v>14</v>
      </c>
      <c r="W36" s="705" t="e">
        <f t="shared" si="14"/>
        <v>#N/A</v>
      </c>
      <c r="X36" s="1354"/>
      <c r="Y36" s="374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42"/>
      <c r="Q37" s="1342" t="str">
        <f t="shared" si="11"/>
        <v>市政基础设施</v>
      </c>
      <c r="R37" s="700" t="s">
        <v>14</v>
      </c>
      <c r="S37" s="701">
        <f t="shared" si="12"/>
        <v>100</v>
      </c>
      <c r="T37" s="700" t="s">
        <v>14</v>
      </c>
      <c r="U37" s="701">
        <f t="shared" si="13"/>
        <v>100</v>
      </c>
      <c r="V37" s="700" t="s">
        <v>14</v>
      </c>
      <c r="W37" s="701">
        <f t="shared" si="14"/>
        <v>100</v>
      </c>
      <c r="X37" s="702"/>
      <c r="Y37" s="3744"/>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42" t="s">
        <v>1696</v>
      </c>
      <c r="Q38" s="1351" t="str">
        <f t="shared" si="11"/>
        <v>业态</v>
      </c>
      <c r="R38" s="704" t="s">
        <v>14</v>
      </c>
      <c r="S38" s="705">
        <f t="shared" si="12"/>
        <v>100</v>
      </c>
      <c r="T38" s="704" t="s">
        <v>14</v>
      </c>
      <c r="U38" s="705">
        <f t="shared" si="13"/>
        <v>100</v>
      </c>
      <c r="V38" s="704" t="s">
        <v>14</v>
      </c>
      <c r="W38" s="705">
        <f t="shared" si="14"/>
        <v>100</v>
      </c>
      <c r="X38" s="1354"/>
      <c r="Y38" s="374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42"/>
      <c r="Q39" s="1351" t="str">
        <f t="shared" si="11"/>
        <v>层高</v>
      </c>
      <c r="R39" s="704" t="s">
        <v>14</v>
      </c>
      <c r="S39" s="705">
        <f t="shared" si="12"/>
        <v>100</v>
      </c>
      <c r="T39" s="704" t="s">
        <v>14</v>
      </c>
      <c r="U39" s="705">
        <f t="shared" si="13"/>
        <v>100</v>
      </c>
      <c r="V39" s="704" t="s">
        <v>14</v>
      </c>
      <c r="W39" s="705">
        <f t="shared" si="14"/>
        <v>100</v>
      </c>
      <c r="X39" s="1354"/>
      <c r="Y39" s="374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2"/>
      <c r="Q40" s="1351" t="str">
        <f t="shared" si="11"/>
        <v>单套建筑面积</v>
      </c>
      <c r="R40" s="704" t="s">
        <v>14</v>
      </c>
      <c r="S40" s="705">
        <f t="shared" si="12"/>
        <v>100</v>
      </c>
      <c r="T40" s="704" t="s">
        <v>14</v>
      </c>
      <c r="U40" s="705">
        <f t="shared" si="13"/>
        <v>100</v>
      </c>
      <c r="V40" s="704" t="s">
        <v>14</v>
      </c>
      <c r="W40" s="705">
        <f t="shared" si="14"/>
        <v>100</v>
      </c>
      <c r="X40" s="1354"/>
      <c r="Y40" s="374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42"/>
      <c r="Q41" s="706" t="str">
        <f t="shared" si="11"/>
        <v>进深比</v>
      </c>
      <c r="R41" s="707" t="s">
        <v>14</v>
      </c>
      <c r="S41" s="708">
        <f t="shared" si="12"/>
        <v>100</v>
      </c>
      <c r="T41" s="707" t="s">
        <v>14</v>
      </c>
      <c r="U41" s="708">
        <f t="shared" si="13"/>
        <v>100</v>
      </c>
      <c r="V41" s="707" t="s">
        <v>14</v>
      </c>
      <c r="W41" s="708">
        <f t="shared" si="14"/>
        <v>100</v>
      </c>
      <c r="X41" s="709"/>
      <c r="Y41" s="374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42"/>
      <c r="Q42" s="1351" t="str">
        <f t="shared" si="11"/>
        <v>内部装修</v>
      </c>
      <c r="R42" s="704" t="s">
        <v>14</v>
      </c>
      <c r="S42" s="705">
        <f t="shared" si="12"/>
        <v>100</v>
      </c>
      <c r="T42" s="704" t="s">
        <v>14</v>
      </c>
      <c r="U42" s="705">
        <f t="shared" si="13"/>
        <v>100</v>
      </c>
      <c r="V42" s="704" t="s">
        <v>14</v>
      </c>
      <c r="W42" s="705">
        <f t="shared" si="14"/>
        <v>100</v>
      </c>
      <c r="X42" s="1354"/>
      <c r="Y42" s="374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42"/>
      <c r="Q43" s="1351" t="str">
        <f t="shared" si="11"/>
        <v>内部装修维护情况</v>
      </c>
      <c r="R43" s="704" t="s">
        <v>14</v>
      </c>
      <c r="S43" s="705">
        <f t="shared" si="12"/>
        <v>100</v>
      </c>
      <c r="T43" s="704" t="s">
        <v>14</v>
      </c>
      <c r="U43" s="705">
        <f t="shared" si="13"/>
        <v>100</v>
      </c>
      <c r="V43" s="704" t="s">
        <v>14</v>
      </c>
      <c r="W43" s="705">
        <f t="shared" si="14"/>
        <v>100</v>
      </c>
      <c r="X43" s="1354"/>
      <c r="Y43" s="374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2"/>
      <c r="Q44" s="1342">
        <f t="shared" si="11"/>
        <v>111</v>
      </c>
      <c r="R44" s="700" t="s">
        <v>14</v>
      </c>
      <c r="S44" s="701">
        <f t="shared" si="12"/>
        <v>100</v>
      </c>
      <c r="T44" s="700" t="s">
        <v>14</v>
      </c>
      <c r="U44" s="701">
        <f t="shared" si="13"/>
        <v>100</v>
      </c>
      <c r="V44" s="700" t="s">
        <v>14</v>
      </c>
      <c r="W44" s="701">
        <f t="shared" si="14"/>
        <v>100</v>
      </c>
      <c r="X44" s="702"/>
      <c r="Y44" s="374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2"/>
      <c r="Q45" s="1351">
        <f t="shared" si="11"/>
        <v>111</v>
      </c>
      <c r="R45" s="704" t="s">
        <v>14</v>
      </c>
      <c r="S45" s="705">
        <f t="shared" si="12"/>
        <v>100</v>
      </c>
      <c r="T45" s="704" t="s">
        <v>14</v>
      </c>
      <c r="U45" s="705">
        <f t="shared" si="13"/>
        <v>100</v>
      </c>
      <c r="V45" s="704" t="s">
        <v>14</v>
      </c>
      <c r="W45" s="705">
        <f t="shared" si="14"/>
        <v>100</v>
      </c>
      <c r="X45" s="1354"/>
      <c r="Y45" s="374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3"/>
      <c r="Q46" s="1351">
        <f t="shared" si="11"/>
        <v>111</v>
      </c>
      <c r="R46" s="704" t="s">
        <v>14</v>
      </c>
      <c r="S46" s="705">
        <f t="shared" si="12"/>
        <v>100</v>
      </c>
      <c r="T46" s="704" t="s">
        <v>14</v>
      </c>
      <c r="U46" s="705">
        <f t="shared" si="13"/>
        <v>100</v>
      </c>
      <c r="V46" s="704" t="s">
        <v>14</v>
      </c>
      <c r="W46" s="705">
        <f t="shared" si="14"/>
        <v>100</v>
      </c>
      <c r="X46" s="1354"/>
      <c r="Y46" s="374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46" t="str">
        <f>A47</f>
        <v>成交单价（元/平方米）</v>
      </c>
      <c r="Q47" s="3746"/>
      <c r="R47" s="3734">
        <f>E47</f>
        <v>0</v>
      </c>
      <c r="S47" s="3734"/>
      <c r="T47" s="3734">
        <f>G47</f>
        <v>0</v>
      </c>
      <c r="U47" s="3734"/>
      <c r="V47" s="3734">
        <f>I47</f>
        <v>0</v>
      </c>
      <c r="W47" s="3734"/>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受贵公司委托，我公司对北京市通州区兴贸三街19号院1号楼4层507办公用房房地产抵押价值进行了预评估。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估价对象为北京市通州区兴贸三街19号院1号楼4层507办公用房房地产，为所有。根据《国有土地使用证》[]，估价对象（分摊）出让国有建设用地使用权面积为0平方米，建筑面积为109.19平方米。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109.19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109.19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912"/>
      <c r="M4" s="913"/>
      <c r="N4" s="913"/>
      <c r="O4" s="913"/>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912"/>
      <c r="M5" s="913"/>
      <c r="N5" s="913"/>
      <c r="O5" s="913"/>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559" t="s">
        <v>1678</v>
      </c>
      <c r="L6" s="912"/>
      <c r="M6" s="913"/>
      <c r="N6" s="913"/>
      <c r="O6" s="913"/>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4"/>
      <c r="M7" s="915"/>
      <c r="N7" s="915"/>
      <c r="O7" s="915"/>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1" t="s">
        <v>1683</v>
      </c>
      <c r="Q8" s="3702"/>
      <c r="R8" s="700" t="s">
        <v>14</v>
      </c>
      <c r="S8" s="701">
        <f t="shared" si="0"/>
        <v>100</v>
      </c>
      <c r="T8" s="700" t="s">
        <v>14</v>
      </c>
      <c r="U8" s="701">
        <f t="shared" si="1"/>
        <v>100</v>
      </c>
      <c r="V8" s="700" t="s">
        <v>14</v>
      </c>
      <c r="W8" s="701">
        <f t="shared" si="2"/>
        <v>100</v>
      </c>
      <c r="X8" s="702"/>
      <c r="Y8" s="3701" t="s">
        <v>1683</v>
      </c>
      <c r="Z8" s="370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4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6"/>
      <c r="Q11" s="1342" t="str">
        <f t="shared" si="6"/>
        <v>容积率</v>
      </c>
      <c r="R11" s="700" t="s">
        <v>14</v>
      </c>
      <c r="S11" s="701">
        <f t="shared" si="0"/>
        <v>100</v>
      </c>
      <c r="T11" s="700" t="s">
        <v>14</v>
      </c>
      <c r="U11" s="701">
        <f t="shared" si="1"/>
        <v>100</v>
      </c>
      <c r="V11" s="700" t="s">
        <v>14</v>
      </c>
      <c r="W11" s="701">
        <f t="shared" si="2"/>
        <v>100</v>
      </c>
      <c r="X11" s="702"/>
      <c r="Y11" s="364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46"/>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9" t="s">
        <v>1691</v>
      </c>
      <c r="Q15" s="1351" t="str">
        <f t="shared" si="6"/>
        <v>产业集聚程度</v>
      </c>
      <c r="R15" s="704" t="s">
        <v>14</v>
      </c>
      <c r="S15" s="705">
        <f t="shared" si="0"/>
        <v>100</v>
      </c>
      <c r="T15" s="704" t="s">
        <v>14</v>
      </c>
      <c r="U15" s="705">
        <f t="shared" si="1"/>
        <v>100</v>
      </c>
      <c r="V15" s="704" t="s">
        <v>14</v>
      </c>
      <c r="W15" s="705">
        <f t="shared" si="2"/>
        <v>100</v>
      </c>
      <c r="X15" s="1354"/>
      <c r="Y15" s="373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40"/>
      <c r="Q16" s="1351"/>
      <c r="R16" s="704"/>
      <c r="S16" s="705"/>
      <c r="T16" s="704"/>
      <c r="U16" s="705"/>
      <c r="V16" s="704"/>
      <c r="W16" s="705"/>
      <c r="X16" s="1354"/>
      <c r="Y16" s="374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0"/>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40"/>
      <c r="Q18" s="1351"/>
      <c r="R18" s="704"/>
      <c r="S18" s="705"/>
      <c r="T18" s="704"/>
      <c r="U18" s="705"/>
      <c r="V18" s="704"/>
      <c r="W18" s="705"/>
      <c r="X18" s="1354"/>
      <c r="Y18" s="374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0"/>
      <c r="Q19" s="1351" t="str">
        <f>B19</f>
        <v>公共配套设施</v>
      </c>
      <c r="R19" s="704" t="s">
        <v>14</v>
      </c>
      <c r="S19" s="705">
        <f>F19</f>
        <v>100</v>
      </c>
      <c r="T19" s="704" t="s">
        <v>14</v>
      </c>
      <c r="U19" s="705">
        <f>H19</f>
        <v>100</v>
      </c>
      <c r="V19" s="704" t="s">
        <v>14</v>
      </c>
      <c r="W19" s="705">
        <f>J19</f>
        <v>100</v>
      </c>
      <c r="X19" s="1354"/>
      <c r="Y19" s="374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40"/>
      <c r="Q20" s="1351"/>
      <c r="R20" s="704"/>
      <c r="S20" s="705"/>
      <c r="T20" s="704"/>
      <c r="U20" s="705"/>
      <c r="V20" s="704"/>
      <c r="W20" s="705"/>
      <c r="X20" s="1354"/>
      <c r="Y20" s="374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0"/>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40"/>
      <c r="Q22" s="1351"/>
      <c r="R22" s="704"/>
      <c r="S22" s="705"/>
      <c r="T22" s="704"/>
      <c r="U22" s="705"/>
      <c r="V22" s="704"/>
      <c r="W22" s="705"/>
      <c r="X22" s="1354"/>
      <c r="Y22" s="374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0"/>
      <c r="Q23" s="1351" t="str">
        <f>B23</f>
        <v>环境质量</v>
      </c>
      <c r="R23" s="704" t="s">
        <v>14</v>
      </c>
      <c r="S23" s="705">
        <f>F23</f>
        <v>100</v>
      </c>
      <c r="T23" s="704" t="s">
        <v>14</v>
      </c>
      <c r="U23" s="705">
        <f>H23</f>
        <v>100</v>
      </c>
      <c r="V23" s="704" t="s">
        <v>14</v>
      </c>
      <c r="W23" s="705">
        <f>J23</f>
        <v>100</v>
      </c>
      <c r="X23" s="1354"/>
      <c r="Y23" s="374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40"/>
      <c r="Q24" s="1351"/>
      <c r="R24" s="704"/>
      <c r="S24" s="705"/>
      <c r="T24" s="704"/>
      <c r="U24" s="705"/>
      <c r="V24" s="704"/>
      <c r="W24" s="705"/>
      <c r="X24" s="1354"/>
      <c r="Y24" s="374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0"/>
      <c r="Q25" s="1351">
        <f>B25</f>
        <v>111</v>
      </c>
      <c r="R25" s="704" t="s">
        <v>14</v>
      </c>
      <c r="S25" s="705">
        <f>F25</f>
        <v>100</v>
      </c>
      <c r="T25" s="704" t="s">
        <v>14</v>
      </c>
      <c r="U25" s="705">
        <f>H25</f>
        <v>100</v>
      </c>
      <c r="V25" s="704" t="s">
        <v>14</v>
      </c>
      <c r="W25" s="705">
        <f>J25</f>
        <v>100</v>
      </c>
      <c r="X25" s="1354"/>
      <c r="Y25" s="374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0"/>
      <c r="Q26" s="1351">
        <f t="shared" ref="Q26:Q40" si="11">B26</f>
        <v>111</v>
      </c>
      <c r="R26" s="704" t="s">
        <v>14</v>
      </c>
      <c r="S26" s="705">
        <f>F26</f>
        <v>100</v>
      </c>
      <c r="T26" s="704" t="s">
        <v>14</v>
      </c>
      <c r="U26" s="705">
        <f>H26</f>
        <v>100</v>
      </c>
      <c r="V26" s="704" t="s">
        <v>14</v>
      </c>
      <c r="W26" s="705">
        <f>J26</f>
        <v>100</v>
      </c>
      <c r="X26" s="1354"/>
      <c r="Y26" s="374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0"/>
      <c r="Q27" s="1342">
        <f t="shared" si="11"/>
        <v>111</v>
      </c>
      <c r="R27" s="700" t="s">
        <v>14</v>
      </c>
      <c r="S27" s="701">
        <f>F27</f>
        <v>100</v>
      </c>
      <c r="T27" s="700" t="s">
        <v>14</v>
      </c>
      <c r="U27" s="701">
        <f>H27</f>
        <v>100</v>
      </c>
      <c r="V27" s="700" t="s">
        <v>14</v>
      </c>
      <c r="W27" s="701">
        <f>J27</f>
        <v>100</v>
      </c>
      <c r="X27" s="702"/>
      <c r="Y27" s="374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0"/>
      <c r="Q28" s="1351">
        <f t="shared" si="11"/>
        <v>111</v>
      </c>
      <c r="R28" s="704" t="s">
        <v>14</v>
      </c>
      <c r="S28" s="705">
        <f t="shared" ref="S28:S40" si="12">F28</f>
        <v>100</v>
      </c>
      <c r="T28" s="704" t="s">
        <v>14</v>
      </c>
      <c r="U28" s="705">
        <f t="shared" ref="U28:U40" si="13">H28</f>
        <v>100</v>
      </c>
      <c r="V28" s="704" t="s">
        <v>14</v>
      </c>
      <c r="W28" s="705">
        <f t="shared" ref="W28:W40" si="14">J28</f>
        <v>100</v>
      </c>
      <c r="X28" s="1354"/>
      <c r="Y28" s="374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3" t="s">
        <v>1696</v>
      </c>
      <c r="Q29" s="1351" t="str">
        <f t="shared" si="11"/>
        <v>建筑类型</v>
      </c>
      <c r="R29" s="704" t="s">
        <v>14</v>
      </c>
      <c r="S29" s="705">
        <f t="shared" si="12"/>
        <v>100</v>
      </c>
      <c r="T29" s="704" t="s">
        <v>14</v>
      </c>
      <c r="U29" s="705">
        <f t="shared" si="13"/>
        <v>100</v>
      </c>
      <c r="V29" s="704" t="s">
        <v>14</v>
      </c>
      <c r="W29" s="705">
        <f t="shared" si="14"/>
        <v>100</v>
      </c>
      <c r="X29" s="1354"/>
      <c r="Y29" s="374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4"/>
      <c r="Q30" s="706" t="str">
        <f t="shared" si="11"/>
        <v>项目建筑规模</v>
      </c>
      <c r="R30" s="707" t="s">
        <v>14</v>
      </c>
      <c r="S30" s="708" t="e">
        <f t="shared" si="12"/>
        <v>#N/A</v>
      </c>
      <c r="T30" s="707" t="s">
        <v>14</v>
      </c>
      <c r="U30" s="708" t="e">
        <f t="shared" si="13"/>
        <v>#N/A</v>
      </c>
      <c r="V30" s="707" t="s">
        <v>14</v>
      </c>
      <c r="W30" s="708" t="e">
        <f t="shared" si="14"/>
        <v>#N/A</v>
      </c>
      <c r="X30" s="709"/>
      <c r="Y30" s="374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4"/>
      <c r="Q31" s="1351" t="str">
        <f t="shared" si="11"/>
        <v>建筑结构</v>
      </c>
      <c r="R31" s="704" t="s">
        <v>14</v>
      </c>
      <c r="S31" s="705">
        <f t="shared" si="12"/>
        <v>100</v>
      </c>
      <c r="T31" s="704" t="s">
        <v>14</v>
      </c>
      <c r="U31" s="705">
        <f t="shared" si="13"/>
        <v>100</v>
      </c>
      <c r="V31" s="704" t="s">
        <v>14</v>
      </c>
      <c r="W31" s="705">
        <f t="shared" si="14"/>
        <v>100</v>
      </c>
      <c r="X31" s="1354"/>
      <c r="Y31" s="374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4"/>
      <c r="Q32" s="1351" t="str">
        <f t="shared" si="11"/>
        <v>公共部分装修</v>
      </c>
      <c r="R32" s="704" t="s">
        <v>14</v>
      </c>
      <c r="S32" s="705">
        <f t="shared" si="12"/>
        <v>100</v>
      </c>
      <c r="T32" s="704" t="s">
        <v>14</v>
      </c>
      <c r="U32" s="705">
        <f t="shared" si="13"/>
        <v>100</v>
      </c>
      <c r="V32" s="704" t="s">
        <v>14</v>
      </c>
      <c r="W32" s="705">
        <f t="shared" si="14"/>
        <v>100</v>
      </c>
      <c r="X32" s="1354"/>
      <c r="Y32" s="374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4"/>
      <c r="Q33" s="1351" t="str">
        <f t="shared" si="11"/>
        <v>成新度</v>
      </c>
      <c r="R33" s="704" t="s">
        <v>14</v>
      </c>
      <c r="S33" s="705" t="e">
        <f t="shared" si="12"/>
        <v>#N/A</v>
      </c>
      <c r="T33" s="704" t="s">
        <v>14</v>
      </c>
      <c r="U33" s="705" t="e">
        <f t="shared" si="13"/>
        <v>#N/A</v>
      </c>
      <c r="V33" s="704" t="s">
        <v>14</v>
      </c>
      <c r="W33" s="705" t="e">
        <f t="shared" si="14"/>
        <v>#N/A</v>
      </c>
      <c r="X33" s="1354"/>
      <c r="Y33" s="374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4"/>
      <c r="Q34" s="1342" t="str">
        <f t="shared" si="11"/>
        <v>物业管理</v>
      </c>
      <c r="R34" s="700" t="s">
        <v>14</v>
      </c>
      <c r="S34" s="701">
        <f t="shared" si="12"/>
        <v>100</v>
      </c>
      <c r="T34" s="700" t="s">
        <v>14</v>
      </c>
      <c r="U34" s="701">
        <f t="shared" si="13"/>
        <v>100</v>
      </c>
      <c r="V34" s="700" t="s">
        <v>14</v>
      </c>
      <c r="W34" s="701">
        <f t="shared" si="14"/>
        <v>100</v>
      </c>
      <c r="X34" s="702"/>
      <c r="Y34" s="374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4" t="s">
        <v>1696</v>
      </c>
      <c r="Q35" s="1351" t="str">
        <f t="shared" si="11"/>
        <v>市政基础设施</v>
      </c>
      <c r="R35" s="704" t="s">
        <v>14</v>
      </c>
      <c r="S35" s="705">
        <f t="shared" si="12"/>
        <v>100</v>
      </c>
      <c r="T35" s="704" t="s">
        <v>14</v>
      </c>
      <c r="U35" s="705">
        <f t="shared" si="13"/>
        <v>100</v>
      </c>
      <c r="V35" s="704" t="s">
        <v>14</v>
      </c>
      <c r="W35" s="705">
        <f t="shared" si="14"/>
        <v>100</v>
      </c>
      <c r="X35" s="1354"/>
      <c r="Y35" s="374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4"/>
      <c r="Q36" s="1351" t="str">
        <f t="shared" si="11"/>
        <v>内部装修</v>
      </c>
      <c r="R36" s="704" t="s">
        <v>14</v>
      </c>
      <c r="S36" s="705">
        <f t="shared" si="12"/>
        <v>100</v>
      </c>
      <c r="T36" s="704" t="s">
        <v>14</v>
      </c>
      <c r="U36" s="705">
        <f t="shared" si="13"/>
        <v>100</v>
      </c>
      <c r="V36" s="704" t="s">
        <v>14</v>
      </c>
      <c r="W36" s="705">
        <f t="shared" si="14"/>
        <v>100</v>
      </c>
      <c r="X36" s="1354"/>
      <c r="Y36" s="374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4"/>
      <c r="Q37" s="1351" t="str">
        <f t="shared" si="11"/>
        <v>内部装修状况</v>
      </c>
      <c r="R37" s="704" t="s">
        <v>14</v>
      </c>
      <c r="S37" s="705">
        <f t="shared" si="12"/>
        <v>100</v>
      </c>
      <c r="T37" s="704" t="s">
        <v>14</v>
      </c>
      <c r="U37" s="705">
        <f t="shared" si="13"/>
        <v>100</v>
      </c>
      <c r="V37" s="704" t="s">
        <v>14</v>
      </c>
      <c r="W37" s="705">
        <f t="shared" si="14"/>
        <v>100</v>
      </c>
      <c r="X37" s="1354"/>
      <c r="Y37" s="374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4"/>
      <c r="Q38" s="706">
        <f t="shared" si="11"/>
        <v>111</v>
      </c>
      <c r="R38" s="707" t="s">
        <v>14</v>
      </c>
      <c r="S38" s="708">
        <f t="shared" si="12"/>
        <v>100</v>
      </c>
      <c r="T38" s="707" t="s">
        <v>14</v>
      </c>
      <c r="U38" s="708">
        <f t="shared" si="13"/>
        <v>100</v>
      </c>
      <c r="V38" s="707" t="s">
        <v>14</v>
      </c>
      <c r="W38" s="708">
        <f t="shared" si="14"/>
        <v>100</v>
      </c>
      <c r="X38" s="709"/>
      <c r="Y38" s="374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4"/>
      <c r="Q39" s="1351">
        <f t="shared" si="11"/>
        <v>111</v>
      </c>
      <c r="R39" s="704" t="s">
        <v>14</v>
      </c>
      <c r="S39" s="705">
        <f t="shared" si="12"/>
        <v>100</v>
      </c>
      <c r="T39" s="704" t="s">
        <v>14</v>
      </c>
      <c r="U39" s="705">
        <f t="shared" si="13"/>
        <v>100</v>
      </c>
      <c r="V39" s="704" t="s">
        <v>14</v>
      </c>
      <c r="W39" s="705">
        <f t="shared" si="14"/>
        <v>100</v>
      </c>
      <c r="X39" s="1354"/>
      <c r="Y39" s="374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5"/>
      <c r="Q40" s="1351">
        <f t="shared" si="11"/>
        <v>111</v>
      </c>
      <c r="R40" s="704" t="s">
        <v>14</v>
      </c>
      <c r="S40" s="705">
        <f t="shared" si="12"/>
        <v>100</v>
      </c>
      <c r="T40" s="704" t="s">
        <v>14</v>
      </c>
      <c r="U40" s="705">
        <f t="shared" si="13"/>
        <v>100</v>
      </c>
      <c r="V40" s="704" t="s">
        <v>14</v>
      </c>
      <c r="W40" s="705">
        <f t="shared" si="14"/>
        <v>100</v>
      </c>
      <c r="X40" s="1354"/>
      <c r="Y40" s="374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46" t="str">
        <f>A41</f>
        <v>成交单价（元/平方米）</v>
      </c>
      <c r="Q41" s="3746"/>
      <c r="R41" s="3747">
        <f>E41</f>
        <v>0</v>
      </c>
      <c r="S41" s="3747"/>
      <c r="T41" s="3747">
        <f>G41</f>
        <v>0</v>
      </c>
      <c r="U41" s="3747"/>
      <c r="V41" s="3747">
        <f>I41</f>
        <v>0</v>
      </c>
      <c r="W41" s="374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80" t="str">
        <f>A43</f>
        <v>估价对象XX用房的比较价值（楼面单价，元/平方米）</v>
      </c>
      <c r="Q43" s="3781"/>
      <c r="R43" s="3782" t="e">
        <f>IF(F1="售价",ROUND(IF(D42="简单平均",AVERAGE(R42:V42),R42*F42+T42*H42+V42*J42),0),ROUND(IF(D42="简单平均",AVERAGE(R42:V42),R42*F42+T42*H42+V42*J42),1))</f>
        <v>#DIV/0!</v>
      </c>
      <c r="S43" s="3782"/>
      <c r="T43" s="3782"/>
      <c r="U43" s="3782"/>
      <c r="V43" s="3782"/>
      <c r="W43" s="3782"/>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36"/>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700" t="s">
        <v>14</v>
      </c>
      <c r="S8" s="701">
        <f t="shared" si="0"/>
        <v>100</v>
      </c>
      <c r="T8" s="700" t="s">
        <v>14</v>
      </c>
      <c r="U8" s="701">
        <f t="shared" si="1"/>
        <v>100</v>
      </c>
      <c r="V8" s="700" t="s">
        <v>14</v>
      </c>
      <c r="W8" s="701">
        <f t="shared" si="2"/>
        <v>100</v>
      </c>
      <c r="X8" s="702"/>
      <c r="Y8" s="3701" t="s">
        <v>1683</v>
      </c>
      <c r="Z8" s="370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6" t="s">
        <v>1686</v>
      </c>
      <c r="Q9" s="1342" t="str">
        <f t="shared" ref="Q9:Q14" si="6">B9</f>
        <v>用途</v>
      </c>
      <c r="R9" s="700" t="s">
        <v>14</v>
      </c>
      <c r="S9" s="701">
        <f t="shared" si="0"/>
        <v>100</v>
      </c>
      <c r="T9" s="700" t="s">
        <v>14</v>
      </c>
      <c r="U9" s="701">
        <f t="shared" si="1"/>
        <v>100</v>
      </c>
      <c r="V9" s="700" t="s">
        <v>14</v>
      </c>
      <c r="W9" s="701">
        <f t="shared" si="2"/>
        <v>100</v>
      </c>
      <c r="X9" s="702"/>
      <c r="Y9" s="3647"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6"/>
      <c r="Q11" s="1342">
        <f t="shared" si="6"/>
        <v>111</v>
      </c>
      <c r="R11" s="700" t="s">
        <v>14</v>
      </c>
      <c r="S11" s="701">
        <f t="shared" si="0"/>
        <v>100</v>
      </c>
      <c r="T11" s="700" t="s">
        <v>14</v>
      </c>
      <c r="U11" s="701">
        <f t="shared" si="1"/>
        <v>100</v>
      </c>
      <c r="V11" s="700" t="s">
        <v>14</v>
      </c>
      <c r="W11" s="701">
        <f t="shared" si="2"/>
        <v>100</v>
      </c>
      <c r="X11" s="702"/>
      <c r="Y11" s="364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9" t="s">
        <v>1691</v>
      </c>
      <c r="Q14" s="1351" t="str">
        <f t="shared" si="6"/>
        <v>交通便捷度</v>
      </c>
      <c r="R14" s="704" t="s">
        <v>14</v>
      </c>
      <c r="S14" s="705">
        <f t="shared" si="0"/>
        <v>100</v>
      </c>
      <c r="T14" s="704" t="s">
        <v>14</v>
      </c>
      <c r="U14" s="705">
        <f t="shared" si="1"/>
        <v>100</v>
      </c>
      <c r="V14" s="704" t="s">
        <v>14</v>
      </c>
      <c r="W14" s="705">
        <f t="shared" si="2"/>
        <v>100</v>
      </c>
      <c r="X14" s="1354"/>
      <c r="Y14" s="373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40"/>
      <c r="Q15" s="1351"/>
      <c r="R15" s="704"/>
      <c r="S15" s="705"/>
      <c r="T15" s="704"/>
      <c r="U15" s="705"/>
      <c r="V15" s="704"/>
      <c r="W15" s="705"/>
      <c r="X15" s="1354"/>
      <c r="Y15" s="374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0"/>
      <c r="Q16" s="1351" t="str">
        <f>B16</f>
        <v>公共配套设施</v>
      </c>
      <c r="R16" s="704" t="s">
        <v>14</v>
      </c>
      <c r="S16" s="705">
        <f>F16</f>
        <v>100</v>
      </c>
      <c r="T16" s="704" t="s">
        <v>14</v>
      </c>
      <c r="U16" s="705">
        <f>H16</f>
        <v>100</v>
      </c>
      <c r="V16" s="704" t="s">
        <v>14</v>
      </c>
      <c r="W16" s="705">
        <f>J16</f>
        <v>100</v>
      </c>
      <c r="X16" s="1354"/>
      <c r="Y16" s="374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40"/>
      <c r="Q17" s="1351"/>
      <c r="R17" s="704"/>
      <c r="S17" s="705"/>
      <c r="T17" s="704"/>
      <c r="U17" s="705"/>
      <c r="V17" s="704"/>
      <c r="W17" s="705"/>
      <c r="X17" s="1354"/>
      <c r="Y17" s="374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0"/>
      <c r="Q18" s="1351" t="str">
        <f>B18</f>
        <v>基础设施水平</v>
      </c>
      <c r="R18" s="704" t="s">
        <v>14</v>
      </c>
      <c r="S18" s="705">
        <f>F18</f>
        <v>100</v>
      </c>
      <c r="T18" s="704" t="s">
        <v>14</v>
      </c>
      <c r="U18" s="705">
        <f>H18</f>
        <v>100</v>
      </c>
      <c r="V18" s="704" t="s">
        <v>14</v>
      </c>
      <c r="W18" s="705">
        <f>J18</f>
        <v>100</v>
      </c>
      <c r="X18" s="1354"/>
      <c r="Y18" s="374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40"/>
      <c r="Q19" s="1351"/>
      <c r="R19" s="704"/>
      <c r="S19" s="705"/>
      <c r="T19" s="704"/>
      <c r="U19" s="705"/>
      <c r="V19" s="704"/>
      <c r="W19" s="705"/>
      <c r="X19" s="1354"/>
      <c r="Y19" s="374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0"/>
      <c r="Q20" s="1351" t="str">
        <f>B20</f>
        <v>自然及人文环境</v>
      </c>
      <c r="R20" s="704" t="s">
        <v>14</v>
      </c>
      <c r="S20" s="705">
        <f>F20</f>
        <v>100</v>
      </c>
      <c r="T20" s="704" t="s">
        <v>14</v>
      </c>
      <c r="U20" s="705">
        <f>H20</f>
        <v>100</v>
      </c>
      <c r="V20" s="704" t="s">
        <v>14</v>
      </c>
      <c r="W20" s="705">
        <f>J20</f>
        <v>100</v>
      </c>
      <c r="X20" s="1354"/>
      <c r="Y20" s="374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40"/>
      <c r="Q21" s="1351"/>
      <c r="R21" s="704"/>
      <c r="S21" s="705"/>
      <c r="T21" s="704"/>
      <c r="U21" s="705"/>
      <c r="V21" s="704"/>
      <c r="W21" s="705"/>
      <c r="X21" s="1354"/>
      <c r="Y21" s="374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0"/>
      <c r="Q22" s="1351" t="str">
        <f>B22</f>
        <v>楼层</v>
      </c>
      <c r="R22" s="704" t="s">
        <v>14</v>
      </c>
      <c r="S22" s="705">
        <f>F22</f>
        <v>100</v>
      </c>
      <c r="T22" s="704" t="s">
        <v>14</v>
      </c>
      <c r="U22" s="705">
        <f>H22</f>
        <v>100</v>
      </c>
      <c r="V22" s="704" t="s">
        <v>14</v>
      </c>
      <c r="W22" s="705">
        <f>J22</f>
        <v>100</v>
      </c>
      <c r="X22" s="1354"/>
      <c r="Y22" s="374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0"/>
      <c r="Q23" s="1351">
        <f>B23</f>
        <v>111</v>
      </c>
      <c r="R23" s="704" t="s">
        <v>14</v>
      </c>
      <c r="S23" s="705">
        <f>F23</f>
        <v>100</v>
      </c>
      <c r="T23" s="704" t="s">
        <v>14</v>
      </c>
      <c r="U23" s="705">
        <f>H23</f>
        <v>100</v>
      </c>
      <c r="V23" s="704" t="s">
        <v>14</v>
      </c>
      <c r="W23" s="705">
        <f>J23</f>
        <v>100</v>
      </c>
      <c r="X23" s="1354"/>
      <c r="Y23" s="374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0"/>
      <c r="Q24" s="1351">
        <f t="shared" ref="Q24:Q36" si="11">B24</f>
        <v>111</v>
      </c>
      <c r="R24" s="704" t="s">
        <v>14</v>
      </c>
      <c r="S24" s="705">
        <f>F24</f>
        <v>100</v>
      </c>
      <c r="T24" s="704" t="s">
        <v>14</v>
      </c>
      <c r="U24" s="705">
        <f>H24</f>
        <v>100</v>
      </c>
      <c r="V24" s="704" t="s">
        <v>14</v>
      </c>
      <c r="W24" s="705">
        <f>J24</f>
        <v>100</v>
      </c>
      <c r="X24" s="1354"/>
      <c r="Y24" s="374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0"/>
      <c r="Q25" s="1342">
        <f t="shared" si="11"/>
        <v>111</v>
      </c>
      <c r="R25" s="700" t="s">
        <v>14</v>
      </c>
      <c r="S25" s="701">
        <f>F25</f>
        <v>100</v>
      </c>
      <c r="T25" s="700" t="s">
        <v>14</v>
      </c>
      <c r="U25" s="701">
        <f>H25</f>
        <v>100</v>
      </c>
      <c r="V25" s="700" t="s">
        <v>14</v>
      </c>
      <c r="W25" s="701">
        <f>J25</f>
        <v>100</v>
      </c>
      <c r="X25" s="702"/>
      <c r="Y25" s="374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4"/>
      <c r="Q27" s="706" t="str">
        <f t="shared" si="11"/>
        <v>项目停车位配比</v>
      </c>
      <c r="R27" s="707" t="s">
        <v>14</v>
      </c>
      <c r="S27" s="708">
        <f t="shared" si="12"/>
        <v>100</v>
      </c>
      <c r="T27" s="707" t="s">
        <v>14</v>
      </c>
      <c r="U27" s="708">
        <f t="shared" si="13"/>
        <v>100</v>
      </c>
      <c r="V27" s="707" t="s">
        <v>14</v>
      </c>
      <c r="W27" s="708">
        <f t="shared" si="14"/>
        <v>100</v>
      </c>
      <c r="X27" s="709"/>
      <c r="Y27" s="3744"/>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4"/>
      <c r="Q28" s="1351" t="str">
        <f t="shared" si="11"/>
        <v>公共部分装修</v>
      </c>
      <c r="R28" s="704" t="s">
        <v>14</v>
      </c>
      <c r="S28" s="705">
        <f t="shared" si="12"/>
        <v>100</v>
      </c>
      <c r="T28" s="704" t="s">
        <v>14</v>
      </c>
      <c r="U28" s="705">
        <f t="shared" si="13"/>
        <v>100</v>
      </c>
      <c r="V28" s="704" t="s">
        <v>14</v>
      </c>
      <c r="W28" s="705">
        <f t="shared" si="14"/>
        <v>100</v>
      </c>
      <c r="X28" s="1354"/>
      <c r="Y28" s="374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4"/>
      <c r="Q29" s="1351" t="str">
        <f t="shared" si="11"/>
        <v>成新率</v>
      </c>
      <c r="R29" s="704" t="s">
        <v>14</v>
      </c>
      <c r="S29" s="705" t="e">
        <f t="shared" si="12"/>
        <v>#N/A</v>
      </c>
      <c r="T29" s="704" t="s">
        <v>14</v>
      </c>
      <c r="U29" s="705" t="e">
        <f t="shared" si="13"/>
        <v>#N/A</v>
      </c>
      <c r="V29" s="704" t="s">
        <v>14</v>
      </c>
      <c r="W29" s="705" t="e">
        <f t="shared" si="14"/>
        <v>#N/A</v>
      </c>
      <c r="X29" s="1354"/>
      <c r="Y29" s="374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4"/>
      <c r="Q30" s="1351" t="str">
        <f t="shared" si="11"/>
        <v>物业等级</v>
      </c>
      <c r="R30" s="704" t="s">
        <v>14</v>
      </c>
      <c r="S30" s="705">
        <f t="shared" si="12"/>
        <v>100</v>
      </c>
      <c r="T30" s="704" t="s">
        <v>14</v>
      </c>
      <c r="U30" s="705">
        <f t="shared" si="13"/>
        <v>100</v>
      </c>
      <c r="V30" s="704" t="s">
        <v>14</v>
      </c>
      <c r="W30" s="705">
        <f t="shared" si="14"/>
        <v>100</v>
      </c>
      <c r="X30" s="1354"/>
      <c r="Y30" s="374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4"/>
      <c r="Q31" s="1342" t="str">
        <f t="shared" si="11"/>
        <v>停车位面积</v>
      </c>
      <c r="R31" s="700" t="s">
        <v>14</v>
      </c>
      <c r="S31" s="701" t="e">
        <f t="shared" si="12"/>
        <v>#N/A</v>
      </c>
      <c r="T31" s="700" t="s">
        <v>14</v>
      </c>
      <c r="U31" s="701" t="e">
        <f t="shared" si="13"/>
        <v>#N/A</v>
      </c>
      <c r="V31" s="700" t="s">
        <v>14</v>
      </c>
      <c r="W31" s="701" t="e">
        <f t="shared" si="14"/>
        <v>#N/A</v>
      </c>
      <c r="X31" s="702"/>
      <c r="Y31" s="374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4" t="s">
        <v>1696</v>
      </c>
      <c r="Q32" s="1351" t="str">
        <f t="shared" si="11"/>
        <v>车位类型</v>
      </c>
      <c r="R32" s="704" t="s">
        <v>14</v>
      </c>
      <c r="S32" s="705">
        <f t="shared" si="12"/>
        <v>100</v>
      </c>
      <c r="T32" s="704" t="s">
        <v>14</v>
      </c>
      <c r="U32" s="705">
        <f t="shared" si="13"/>
        <v>100</v>
      </c>
      <c r="V32" s="704" t="s">
        <v>14</v>
      </c>
      <c r="W32" s="705">
        <f t="shared" si="14"/>
        <v>100</v>
      </c>
      <c r="X32" s="1354"/>
      <c r="Y32" s="374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4"/>
      <c r="Q33" s="1351" t="str">
        <f t="shared" si="11"/>
        <v>是否直接入户</v>
      </c>
      <c r="R33" s="704" t="s">
        <v>14</v>
      </c>
      <c r="S33" s="705">
        <f t="shared" si="12"/>
        <v>100</v>
      </c>
      <c r="T33" s="704" t="s">
        <v>14</v>
      </c>
      <c r="U33" s="705">
        <f t="shared" si="13"/>
        <v>100</v>
      </c>
      <c r="V33" s="704" t="s">
        <v>14</v>
      </c>
      <c r="W33" s="705">
        <f t="shared" si="14"/>
        <v>100</v>
      </c>
      <c r="X33" s="1354"/>
      <c r="Y33" s="374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4"/>
      <c r="Q34" s="1351">
        <f t="shared" si="11"/>
        <v>111</v>
      </c>
      <c r="R34" s="704" t="s">
        <v>14</v>
      </c>
      <c r="S34" s="705">
        <f t="shared" si="12"/>
        <v>100</v>
      </c>
      <c r="T34" s="704" t="s">
        <v>14</v>
      </c>
      <c r="U34" s="705">
        <f t="shared" si="13"/>
        <v>100</v>
      </c>
      <c r="V34" s="704" t="s">
        <v>14</v>
      </c>
      <c r="W34" s="705">
        <f t="shared" si="14"/>
        <v>100</v>
      </c>
      <c r="X34" s="1354"/>
      <c r="Y34" s="374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4"/>
      <c r="Q35" s="706">
        <f t="shared" si="11"/>
        <v>111</v>
      </c>
      <c r="R35" s="707" t="s">
        <v>14</v>
      </c>
      <c r="S35" s="708">
        <f t="shared" si="12"/>
        <v>100</v>
      </c>
      <c r="T35" s="707" t="s">
        <v>14</v>
      </c>
      <c r="U35" s="708">
        <f t="shared" si="13"/>
        <v>100</v>
      </c>
      <c r="V35" s="707" t="s">
        <v>14</v>
      </c>
      <c r="W35" s="708">
        <f t="shared" si="14"/>
        <v>100</v>
      </c>
      <c r="X35" s="709"/>
      <c r="Y35" s="3744"/>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4"/>
      <c r="Q36" s="1351">
        <f t="shared" si="11"/>
        <v>111</v>
      </c>
      <c r="R36" s="704" t="s">
        <v>14</v>
      </c>
      <c r="S36" s="705">
        <f t="shared" si="12"/>
        <v>100</v>
      </c>
      <c r="T36" s="704" t="s">
        <v>14</v>
      </c>
      <c r="U36" s="705">
        <f t="shared" si="13"/>
        <v>100</v>
      </c>
      <c r="V36" s="704" t="s">
        <v>14</v>
      </c>
      <c r="W36" s="705">
        <f t="shared" si="14"/>
        <v>100</v>
      </c>
      <c r="X36" s="1354"/>
      <c r="Y36" s="3744"/>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746" t="str">
        <f>A37</f>
        <v>成交单价</v>
      </c>
      <c r="Q37" s="3746"/>
      <c r="R37" s="3747">
        <f>E37</f>
        <v>0</v>
      </c>
      <c r="S37" s="3747"/>
      <c r="T37" s="3747">
        <f>G37</f>
        <v>0</v>
      </c>
      <c r="U37" s="3747"/>
      <c r="V37" s="3747">
        <f>I37</f>
        <v>0</v>
      </c>
      <c r="W37" s="374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80" t="str">
        <f>A39</f>
        <v>估价对象XX用房的比较价值（楼面单价，元/平方米）</v>
      </c>
      <c r="Q39" s="3781"/>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01" t="s">
        <v>1680</v>
      </c>
      <c r="Q7" s="3736"/>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700" t="s">
        <v>14</v>
      </c>
      <c r="S8" s="701">
        <f t="shared" si="0"/>
        <v>100</v>
      </c>
      <c r="T8" s="700" t="s">
        <v>14</v>
      </c>
      <c r="U8" s="701">
        <f t="shared" si="1"/>
        <v>100</v>
      </c>
      <c r="V8" s="700" t="s">
        <v>14</v>
      </c>
      <c r="W8" s="701">
        <f t="shared" si="2"/>
        <v>100</v>
      </c>
      <c r="X8" s="702"/>
      <c r="Y8" s="3701" t="s">
        <v>1683</v>
      </c>
      <c r="Z8" s="370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6" t="s">
        <v>1686</v>
      </c>
      <c r="Q9" s="1342" t="str">
        <f t="shared" ref="Q9:Q14" si="6">B9</f>
        <v>用途</v>
      </c>
      <c r="R9" s="700" t="s">
        <v>14</v>
      </c>
      <c r="S9" s="701">
        <f t="shared" si="0"/>
        <v>100</v>
      </c>
      <c r="T9" s="700" t="s">
        <v>14</v>
      </c>
      <c r="U9" s="701">
        <f t="shared" si="1"/>
        <v>100</v>
      </c>
      <c r="V9" s="700" t="s">
        <v>14</v>
      </c>
      <c r="W9" s="701">
        <f t="shared" si="2"/>
        <v>100</v>
      </c>
      <c r="X9" s="702"/>
      <c r="Y9" s="3647"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6"/>
      <c r="Q11" s="1342">
        <f t="shared" si="6"/>
        <v>111</v>
      </c>
      <c r="R11" s="700" t="s">
        <v>14</v>
      </c>
      <c r="S11" s="701">
        <f t="shared" si="0"/>
        <v>100</v>
      </c>
      <c r="T11" s="700" t="s">
        <v>14</v>
      </c>
      <c r="U11" s="701">
        <f t="shared" si="1"/>
        <v>100</v>
      </c>
      <c r="V11" s="700" t="s">
        <v>14</v>
      </c>
      <c r="W11" s="701">
        <f t="shared" si="2"/>
        <v>100</v>
      </c>
      <c r="X11" s="702"/>
      <c r="Y11" s="364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9" t="s">
        <v>1691</v>
      </c>
      <c r="Q14" s="1351" t="str">
        <f t="shared" si="6"/>
        <v>交通便捷度</v>
      </c>
      <c r="R14" s="704" t="s">
        <v>14</v>
      </c>
      <c r="S14" s="705">
        <f t="shared" si="0"/>
        <v>100</v>
      </c>
      <c r="T14" s="704" t="s">
        <v>14</v>
      </c>
      <c r="U14" s="705">
        <f t="shared" si="1"/>
        <v>100</v>
      </c>
      <c r="V14" s="704" t="s">
        <v>14</v>
      </c>
      <c r="W14" s="705">
        <f t="shared" si="2"/>
        <v>100</v>
      </c>
      <c r="X14" s="1354"/>
      <c r="Y14" s="373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40"/>
      <c r="Q15" s="1351"/>
      <c r="R15" s="704"/>
      <c r="S15" s="705"/>
      <c r="T15" s="704"/>
      <c r="U15" s="705"/>
      <c r="V15" s="704"/>
      <c r="W15" s="705"/>
      <c r="X15" s="1354"/>
      <c r="Y15" s="374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0"/>
      <c r="Q16" s="1351" t="str">
        <f>B16</f>
        <v>公共配套设施</v>
      </c>
      <c r="R16" s="704" t="s">
        <v>14</v>
      </c>
      <c r="S16" s="705">
        <f>F16</f>
        <v>100</v>
      </c>
      <c r="T16" s="704" t="s">
        <v>14</v>
      </c>
      <c r="U16" s="705">
        <f>H16</f>
        <v>100</v>
      </c>
      <c r="V16" s="704" t="s">
        <v>14</v>
      </c>
      <c r="W16" s="705">
        <f>J16</f>
        <v>100</v>
      </c>
      <c r="X16" s="1354"/>
      <c r="Y16" s="374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40"/>
      <c r="Q17" s="1351"/>
      <c r="R17" s="704"/>
      <c r="S17" s="705"/>
      <c r="T17" s="704"/>
      <c r="U17" s="705"/>
      <c r="V17" s="704"/>
      <c r="W17" s="705"/>
      <c r="X17" s="1354"/>
      <c r="Y17" s="374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0"/>
      <c r="Q18" s="1351" t="str">
        <f>B18</f>
        <v>基础设施水平</v>
      </c>
      <c r="R18" s="704" t="s">
        <v>14</v>
      </c>
      <c r="S18" s="705">
        <f>F18</f>
        <v>100</v>
      </c>
      <c r="T18" s="704" t="s">
        <v>14</v>
      </c>
      <c r="U18" s="705">
        <f>H18</f>
        <v>100</v>
      </c>
      <c r="V18" s="704" t="s">
        <v>14</v>
      </c>
      <c r="W18" s="705">
        <f>J18</f>
        <v>100</v>
      </c>
      <c r="X18" s="1354"/>
      <c r="Y18" s="374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40"/>
      <c r="Q19" s="1351"/>
      <c r="R19" s="704"/>
      <c r="S19" s="705"/>
      <c r="T19" s="704"/>
      <c r="U19" s="705"/>
      <c r="V19" s="704"/>
      <c r="W19" s="705"/>
      <c r="X19" s="1354"/>
      <c r="Y19" s="374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0"/>
      <c r="Q20" s="1351" t="str">
        <f>B20</f>
        <v>自然及人文环境</v>
      </c>
      <c r="R20" s="704" t="s">
        <v>14</v>
      </c>
      <c r="S20" s="705">
        <f>F20</f>
        <v>100</v>
      </c>
      <c r="T20" s="704" t="s">
        <v>14</v>
      </c>
      <c r="U20" s="705">
        <f>H20</f>
        <v>100</v>
      </c>
      <c r="V20" s="704" t="s">
        <v>14</v>
      </c>
      <c r="W20" s="705">
        <f>J20</f>
        <v>100</v>
      </c>
      <c r="X20" s="1354"/>
      <c r="Y20" s="374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40"/>
      <c r="Q21" s="1351"/>
      <c r="R21" s="704"/>
      <c r="S21" s="705"/>
      <c r="T21" s="704"/>
      <c r="U21" s="705"/>
      <c r="V21" s="704"/>
      <c r="W21" s="705"/>
      <c r="X21" s="1354"/>
      <c r="Y21" s="374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0"/>
      <c r="Q22" s="1351" t="str">
        <f>B22</f>
        <v>楼层</v>
      </c>
      <c r="R22" s="704" t="s">
        <v>14</v>
      </c>
      <c r="S22" s="705">
        <f>F22</f>
        <v>100</v>
      </c>
      <c r="T22" s="704" t="s">
        <v>14</v>
      </c>
      <c r="U22" s="705">
        <f>H22</f>
        <v>100</v>
      </c>
      <c r="V22" s="704" t="s">
        <v>14</v>
      </c>
      <c r="W22" s="705">
        <f>J22</f>
        <v>100</v>
      </c>
      <c r="X22" s="1354"/>
      <c r="Y22" s="374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0"/>
      <c r="Q23" s="1351">
        <f>B23</f>
        <v>111</v>
      </c>
      <c r="R23" s="704" t="s">
        <v>14</v>
      </c>
      <c r="S23" s="705">
        <f>F23</f>
        <v>100</v>
      </c>
      <c r="T23" s="704" t="s">
        <v>14</v>
      </c>
      <c r="U23" s="705">
        <f>H23</f>
        <v>100</v>
      </c>
      <c r="V23" s="704" t="s">
        <v>14</v>
      </c>
      <c r="W23" s="705">
        <f>J23</f>
        <v>100</v>
      </c>
      <c r="X23" s="1354"/>
      <c r="Y23" s="374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0"/>
      <c r="Q24" s="1351">
        <f t="shared" ref="Q24:Q34" si="11">B24</f>
        <v>111</v>
      </c>
      <c r="R24" s="704" t="s">
        <v>14</v>
      </c>
      <c r="S24" s="705">
        <f>F24</f>
        <v>100</v>
      </c>
      <c r="T24" s="704" t="s">
        <v>14</v>
      </c>
      <c r="U24" s="705">
        <f>H24</f>
        <v>100</v>
      </c>
      <c r="V24" s="704" t="s">
        <v>14</v>
      </c>
      <c r="W24" s="705">
        <f>J24</f>
        <v>100</v>
      </c>
      <c r="X24" s="1354"/>
      <c r="Y24" s="374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40"/>
      <c r="Q25" s="1342">
        <f t="shared" si="11"/>
        <v>111</v>
      </c>
      <c r="R25" s="700" t="s">
        <v>14</v>
      </c>
      <c r="S25" s="701">
        <f>F25</f>
        <v>100</v>
      </c>
      <c r="T25" s="700" t="s">
        <v>14</v>
      </c>
      <c r="U25" s="701">
        <f>H25</f>
        <v>100</v>
      </c>
      <c r="V25" s="700" t="s">
        <v>14</v>
      </c>
      <c r="W25" s="701">
        <f>J25</f>
        <v>100</v>
      </c>
      <c r="X25" s="702"/>
      <c r="Y25" s="374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4"/>
      <c r="Q27" s="706" t="str">
        <f t="shared" si="11"/>
        <v>成新率</v>
      </c>
      <c r="R27" s="707" t="s">
        <v>14</v>
      </c>
      <c r="S27" s="708" t="e">
        <f t="shared" si="12"/>
        <v>#N/A</v>
      </c>
      <c r="T27" s="707" t="s">
        <v>14</v>
      </c>
      <c r="U27" s="708" t="e">
        <f t="shared" si="13"/>
        <v>#N/A</v>
      </c>
      <c r="V27" s="707" t="s">
        <v>14</v>
      </c>
      <c r="W27" s="708" t="e">
        <f t="shared" si="14"/>
        <v>#N/A</v>
      </c>
      <c r="X27" s="709"/>
      <c r="Y27" s="374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4"/>
      <c r="Q28" s="1351" t="str">
        <f t="shared" si="11"/>
        <v>物业等级</v>
      </c>
      <c r="R28" s="704" t="s">
        <v>14</v>
      </c>
      <c r="S28" s="705">
        <f t="shared" si="12"/>
        <v>100</v>
      </c>
      <c r="T28" s="704" t="s">
        <v>14</v>
      </c>
      <c r="U28" s="705">
        <f t="shared" si="13"/>
        <v>100</v>
      </c>
      <c r="V28" s="704" t="s">
        <v>14</v>
      </c>
      <c r="W28" s="705">
        <f t="shared" si="14"/>
        <v>100</v>
      </c>
      <c r="X28" s="1354"/>
      <c r="Y28" s="374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4"/>
      <c r="Q29" s="1351" t="str">
        <f t="shared" si="11"/>
        <v>有无电梯</v>
      </c>
      <c r="R29" s="704" t="s">
        <v>14</v>
      </c>
      <c r="S29" s="705">
        <f t="shared" si="12"/>
        <v>100</v>
      </c>
      <c r="T29" s="704" t="s">
        <v>14</v>
      </c>
      <c r="U29" s="705">
        <f t="shared" si="13"/>
        <v>100</v>
      </c>
      <c r="V29" s="704" t="s">
        <v>14</v>
      </c>
      <c r="W29" s="705">
        <f t="shared" si="14"/>
        <v>100</v>
      </c>
      <c r="X29" s="1354"/>
      <c r="Y29" s="374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4"/>
      <c r="Q30" s="1351" t="str">
        <f t="shared" si="11"/>
        <v>建筑面积</v>
      </c>
      <c r="R30" s="704" t="s">
        <v>14</v>
      </c>
      <c r="S30" s="705" t="e">
        <f t="shared" si="12"/>
        <v>#N/A</v>
      </c>
      <c r="T30" s="704" t="s">
        <v>14</v>
      </c>
      <c r="U30" s="705" t="e">
        <f t="shared" si="13"/>
        <v>#N/A</v>
      </c>
      <c r="V30" s="704" t="s">
        <v>14</v>
      </c>
      <c r="W30" s="705" t="e">
        <f t="shared" si="14"/>
        <v>#N/A</v>
      </c>
      <c r="X30" s="1354"/>
      <c r="Y30" s="374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4"/>
      <c r="Q31" s="1342" t="str">
        <f t="shared" si="11"/>
        <v>是否封闭</v>
      </c>
      <c r="R31" s="700" t="s">
        <v>14</v>
      </c>
      <c r="S31" s="701">
        <f t="shared" si="12"/>
        <v>100</v>
      </c>
      <c r="T31" s="700" t="s">
        <v>14</v>
      </c>
      <c r="U31" s="701">
        <f t="shared" si="13"/>
        <v>100</v>
      </c>
      <c r="V31" s="700" t="s">
        <v>14</v>
      </c>
      <c r="W31" s="701">
        <f t="shared" si="14"/>
        <v>100</v>
      </c>
      <c r="X31" s="702"/>
      <c r="Y31" s="374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4" t="s">
        <v>1696</v>
      </c>
      <c r="Q32" s="1351">
        <f t="shared" si="11"/>
        <v>111</v>
      </c>
      <c r="R32" s="704" t="s">
        <v>14</v>
      </c>
      <c r="S32" s="705">
        <f t="shared" si="12"/>
        <v>100</v>
      </c>
      <c r="T32" s="704" t="s">
        <v>14</v>
      </c>
      <c r="U32" s="705">
        <f t="shared" si="13"/>
        <v>100</v>
      </c>
      <c r="V32" s="704" t="s">
        <v>14</v>
      </c>
      <c r="W32" s="705">
        <f t="shared" si="14"/>
        <v>100</v>
      </c>
      <c r="X32" s="1354"/>
      <c r="Y32" s="374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4"/>
      <c r="Q33" s="1351">
        <f t="shared" si="11"/>
        <v>111</v>
      </c>
      <c r="R33" s="704" t="s">
        <v>14</v>
      </c>
      <c r="S33" s="705">
        <f t="shared" si="12"/>
        <v>100</v>
      </c>
      <c r="T33" s="704" t="s">
        <v>14</v>
      </c>
      <c r="U33" s="705">
        <f t="shared" si="13"/>
        <v>100</v>
      </c>
      <c r="V33" s="704" t="s">
        <v>14</v>
      </c>
      <c r="W33" s="705">
        <f t="shared" si="14"/>
        <v>100</v>
      </c>
      <c r="X33" s="1354"/>
      <c r="Y33" s="374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44"/>
      <c r="Q34" s="1351">
        <f t="shared" si="11"/>
        <v>111</v>
      </c>
      <c r="R34" s="704" t="s">
        <v>14</v>
      </c>
      <c r="S34" s="705">
        <f t="shared" si="12"/>
        <v>100</v>
      </c>
      <c r="T34" s="704" t="s">
        <v>14</v>
      </c>
      <c r="U34" s="705">
        <f t="shared" si="13"/>
        <v>100</v>
      </c>
      <c r="V34" s="704" t="s">
        <v>14</v>
      </c>
      <c r="W34" s="705">
        <f t="shared" si="14"/>
        <v>100</v>
      </c>
      <c r="X34" s="1354"/>
      <c r="Y34" s="374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46" t="str">
        <f>A35</f>
        <v>成交单价（元/平方米）</v>
      </c>
      <c r="Q35" s="3746"/>
      <c r="R35" s="3747">
        <f>E35</f>
        <v>0</v>
      </c>
      <c r="S35" s="3747"/>
      <c r="T35" s="3747">
        <f>G35</f>
        <v>0</v>
      </c>
      <c r="U35" s="3747"/>
      <c r="V35" s="3747">
        <f>I35</f>
        <v>0</v>
      </c>
      <c r="W35" s="374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80" t="str">
        <f>A37</f>
        <v>估价对象XX用房的比较价值（楼面单价，元/平方米）</v>
      </c>
      <c r="Q37" s="3781"/>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30"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30"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00"/>
      <c r="AC6" s="3700"/>
    </row>
    <row r="7" spans="1:30" s="108" customFormat="1" ht="15.75" thickBot="1">
      <c r="A7" s="362" t="s">
        <v>1679</v>
      </c>
      <c r="B7" s="363"/>
      <c r="C7" s="364">
        <f>'数据-取费表'!B2</f>
        <v>45950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700" t="s">
        <v>14</v>
      </c>
      <c r="S8" s="701">
        <f t="shared" si="0"/>
        <v>0</v>
      </c>
      <c r="T8" s="700" t="s">
        <v>14</v>
      </c>
      <c r="U8" s="701">
        <f t="shared" si="1"/>
        <v>0</v>
      </c>
      <c r="V8" s="700" t="s">
        <v>14</v>
      </c>
      <c r="W8" s="701">
        <f t="shared" si="2"/>
        <v>0</v>
      </c>
      <c r="X8" s="702"/>
      <c r="Y8" s="3701" t="s">
        <v>1683</v>
      </c>
      <c r="Z8" s="370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4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46"/>
      <c r="Q10" s="1342" t="str">
        <f t="shared" si="6"/>
        <v>土地使用年限（年）</v>
      </c>
      <c r="R10" s="700" t="s">
        <v>14</v>
      </c>
      <c r="S10" s="701">
        <f t="shared" si="0"/>
        <v>112</v>
      </c>
      <c r="T10" s="700" t="s">
        <v>14</v>
      </c>
      <c r="U10" s="701">
        <f t="shared" si="1"/>
        <v>112</v>
      </c>
      <c r="V10" s="700" t="s">
        <v>14</v>
      </c>
      <c r="W10" s="701">
        <f t="shared" si="2"/>
        <v>112</v>
      </c>
      <c r="X10" s="702"/>
      <c r="Y10" s="3647"/>
      <c r="Z10" s="52" t="str">
        <f t="shared" si="7"/>
        <v>土地使用年限（年）</v>
      </c>
      <c r="AA10" s="703">
        <f t="shared" si="3"/>
        <v>0.8928571428571429</v>
      </c>
      <c r="AB10" s="703">
        <f t="shared" si="4"/>
        <v>0.8928571428571429</v>
      </c>
      <c r="AC10" s="703">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6"/>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6"/>
      <c r="Q12" s="1342" t="str">
        <f t="shared" si="6"/>
        <v>配建</v>
      </c>
      <c r="R12" s="700" t="s">
        <v>14</v>
      </c>
      <c r="S12" s="701">
        <f t="shared" si="0"/>
        <v>100</v>
      </c>
      <c r="T12" s="700" t="s">
        <v>14</v>
      </c>
      <c r="U12" s="701">
        <f t="shared" si="1"/>
        <v>100</v>
      </c>
      <c r="V12" s="700" t="s">
        <v>14</v>
      </c>
      <c r="W12" s="701">
        <f t="shared" si="2"/>
        <v>100</v>
      </c>
      <c r="X12" s="702"/>
      <c r="Y12" s="364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6"/>
      <c r="Q14" s="1342">
        <f t="shared" si="6"/>
        <v>111</v>
      </c>
      <c r="R14" s="700" t="s">
        <v>14</v>
      </c>
      <c r="S14" s="701">
        <f t="shared" si="0"/>
        <v>100</v>
      </c>
      <c r="T14" s="700" t="s">
        <v>14</v>
      </c>
      <c r="U14" s="701">
        <f t="shared" si="1"/>
        <v>100</v>
      </c>
      <c r="V14" s="700" t="s">
        <v>14</v>
      </c>
      <c r="W14" s="701">
        <f t="shared" si="2"/>
        <v>100</v>
      </c>
      <c r="X14" s="702"/>
      <c r="Y14" s="364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9" t="s">
        <v>1691</v>
      </c>
      <c r="Q15" s="1351" t="str">
        <f t="shared" si="6"/>
        <v>居住社区成熟度</v>
      </c>
      <c r="R15" s="704" t="s">
        <v>14</v>
      </c>
      <c r="S15" s="705">
        <f t="shared" si="0"/>
        <v>100</v>
      </c>
      <c r="T15" s="704" t="s">
        <v>14</v>
      </c>
      <c r="U15" s="705">
        <f t="shared" si="1"/>
        <v>100</v>
      </c>
      <c r="V15" s="704" t="s">
        <v>14</v>
      </c>
      <c r="W15" s="705">
        <f t="shared" si="2"/>
        <v>100</v>
      </c>
      <c r="X15" s="1354"/>
      <c r="Y15" s="373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40"/>
      <c r="Q16" s="1351"/>
      <c r="R16" s="704"/>
      <c r="S16" s="705"/>
      <c r="T16" s="704"/>
      <c r="U16" s="705"/>
      <c r="V16" s="704"/>
      <c r="W16" s="705"/>
      <c r="X16" s="1354"/>
      <c r="Y16" s="374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0"/>
      <c r="Q17" s="1351" t="str">
        <f>B17</f>
        <v>商业繁华度</v>
      </c>
      <c r="R17" s="704" t="s">
        <v>14</v>
      </c>
      <c r="S17" s="705">
        <f>F17</f>
        <v>100</v>
      </c>
      <c r="T17" s="704" t="s">
        <v>14</v>
      </c>
      <c r="U17" s="705">
        <f>H17</f>
        <v>100</v>
      </c>
      <c r="V17" s="704" t="s">
        <v>14</v>
      </c>
      <c r="W17" s="705">
        <f>J17</f>
        <v>100</v>
      </c>
      <c r="X17" s="1354"/>
      <c r="Y17" s="374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40"/>
      <c r="Q18" s="1351"/>
      <c r="R18" s="704"/>
      <c r="S18" s="705"/>
      <c r="T18" s="704"/>
      <c r="U18" s="705"/>
      <c r="V18" s="704"/>
      <c r="W18" s="705"/>
      <c r="X18" s="1354"/>
      <c r="Y18" s="374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0"/>
      <c r="Q19" s="1351" t="str">
        <f>B19</f>
        <v>办公集聚程度</v>
      </c>
      <c r="R19" s="704" t="s">
        <v>14</v>
      </c>
      <c r="S19" s="705">
        <f>F19</f>
        <v>100</v>
      </c>
      <c r="T19" s="704" t="s">
        <v>14</v>
      </c>
      <c r="U19" s="705">
        <f>H19</f>
        <v>100</v>
      </c>
      <c r="V19" s="704" t="s">
        <v>14</v>
      </c>
      <c r="W19" s="705">
        <f>J19</f>
        <v>100</v>
      </c>
      <c r="X19" s="1354"/>
      <c r="Y19" s="374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40"/>
      <c r="Q20" s="1351"/>
      <c r="R20" s="704"/>
      <c r="S20" s="705"/>
      <c r="T20" s="704"/>
      <c r="U20" s="705"/>
      <c r="V20" s="704"/>
      <c r="W20" s="705"/>
      <c r="X20" s="1354"/>
      <c r="Y20" s="374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0"/>
      <c r="Q21" s="1351" t="str">
        <f>B21</f>
        <v>交通便捷度</v>
      </c>
      <c r="R21" s="704" t="s">
        <v>14</v>
      </c>
      <c r="S21" s="705">
        <f>F21</f>
        <v>100</v>
      </c>
      <c r="T21" s="704" t="s">
        <v>14</v>
      </c>
      <c r="U21" s="705">
        <f>H21</f>
        <v>100</v>
      </c>
      <c r="V21" s="704" t="s">
        <v>14</v>
      </c>
      <c r="W21" s="705">
        <f>J21</f>
        <v>100</v>
      </c>
      <c r="X21" s="1354"/>
      <c r="Y21" s="374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40"/>
      <c r="Q22" s="1351"/>
      <c r="R22" s="704"/>
      <c r="S22" s="705"/>
      <c r="T22" s="704"/>
      <c r="U22" s="705"/>
      <c r="V22" s="704"/>
      <c r="W22" s="705"/>
      <c r="X22" s="1354"/>
      <c r="Y22" s="374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0"/>
      <c r="Q23" s="1351" t="str">
        <f t="shared" ref="Q23:Q37" si="8">B23</f>
        <v>区域土地利用方向</v>
      </c>
      <c r="R23" s="704" t="s">
        <v>14</v>
      </c>
      <c r="S23" s="705">
        <f>F23</f>
        <v>100</v>
      </c>
      <c r="T23" s="704" t="s">
        <v>14</v>
      </c>
      <c r="U23" s="705">
        <f>H23</f>
        <v>100</v>
      </c>
      <c r="V23" s="704" t="s">
        <v>14</v>
      </c>
      <c r="W23" s="705">
        <f>J23</f>
        <v>100</v>
      </c>
      <c r="X23" s="1354"/>
      <c r="Y23" s="374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40"/>
      <c r="Q24" s="1351"/>
      <c r="R24" s="704"/>
      <c r="S24" s="705"/>
      <c r="T24" s="704"/>
      <c r="U24" s="705"/>
      <c r="V24" s="704"/>
      <c r="W24" s="705"/>
      <c r="X24" s="1354"/>
      <c r="Y24" s="374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0"/>
      <c r="Q25" s="1351" t="str">
        <f t="shared" si="8"/>
        <v>自然及人文环境状况</v>
      </c>
      <c r="R25" s="704" t="s">
        <v>14</v>
      </c>
      <c r="S25" s="705">
        <f>F25</f>
        <v>100</v>
      </c>
      <c r="T25" s="704" t="s">
        <v>14</v>
      </c>
      <c r="U25" s="705">
        <f>H25</f>
        <v>100</v>
      </c>
      <c r="V25" s="704" t="s">
        <v>14</v>
      </c>
      <c r="W25" s="705">
        <f>J25</f>
        <v>100</v>
      </c>
      <c r="X25" s="1354"/>
      <c r="Y25" s="374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40"/>
      <c r="Q26" s="1351"/>
      <c r="R26" s="704"/>
      <c r="S26" s="705"/>
      <c r="T26" s="704"/>
      <c r="U26" s="705"/>
      <c r="V26" s="704"/>
      <c r="W26" s="705"/>
      <c r="X26" s="1354"/>
      <c r="Y26" s="3740"/>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0"/>
      <c r="Q27" s="1342" t="str">
        <f t="shared" si="8"/>
        <v>公共配套设施</v>
      </c>
      <c r="R27" s="700" t="s">
        <v>14</v>
      </c>
      <c r="S27" s="701">
        <f>F27</f>
        <v>100</v>
      </c>
      <c r="T27" s="700" t="s">
        <v>14</v>
      </c>
      <c r="U27" s="701">
        <f>H27</f>
        <v>100</v>
      </c>
      <c r="V27" s="700" t="s">
        <v>14</v>
      </c>
      <c r="W27" s="701">
        <f>J27</f>
        <v>100</v>
      </c>
      <c r="X27" s="702"/>
      <c r="Y27" s="374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40"/>
      <c r="Q28" s="1342"/>
      <c r="R28" s="700"/>
      <c r="S28" s="701"/>
      <c r="T28" s="700"/>
      <c r="U28" s="701"/>
      <c r="V28" s="700"/>
      <c r="W28" s="701"/>
      <c r="X28" s="702"/>
      <c r="Y28" s="3740"/>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0"/>
      <c r="Q29" s="1342" t="str">
        <f t="shared" ref="Q29" si="9">B29</f>
        <v>基础设施水平</v>
      </c>
      <c r="R29" s="700" t="s">
        <v>14</v>
      </c>
      <c r="S29" s="701">
        <f>F29</f>
        <v>100</v>
      </c>
      <c r="T29" s="700" t="s">
        <v>14</v>
      </c>
      <c r="U29" s="701">
        <f>H29</f>
        <v>100</v>
      </c>
      <c r="V29" s="700" t="s">
        <v>14</v>
      </c>
      <c r="W29" s="701">
        <f>J29</f>
        <v>100</v>
      </c>
      <c r="X29" s="702"/>
      <c r="Y29" s="374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40"/>
      <c r="Q30" s="1342"/>
      <c r="R30" s="700"/>
      <c r="S30" s="701"/>
      <c r="T30" s="700"/>
      <c r="U30" s="701"/>
      <c r="V30" s="700"/>
      <c r="W30" s="701"/>
      <c r="X30" s="702"/>
      <c r="Y30" s="374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4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0"/>
      <c r="Q32" s="1351" t="str">
        <f t="shared" si="8"/>
        <v>毗邻道路的类型与等级</v>
      </c>
      <c r="R32" s="704" t="s">
        <v>14</v>
      </c>
      <c r="S32" s="705">
        <f t="shared" si="10"/>
        <v>100</v>
      </c>
      <c r="T32" s="704" t="s">
        <v>14</v>
      </c>
      <c r="U32" s="705">
        <f t="shared" si="11"/>
        <v>100</v>
      </c>
      <c r="V32" s="704" t="s">
        <v>14</v>
      </c>
      <c r="W32" s="705">
        <f t="shared" si="12"/>
        <v>100</v>
      </c>
      <c r="X32" s="1354"/>
      <c r="Y32" s="374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40"/>
      <c r="Q33" s="1351"/>
      <c r="R33" s="704"/>
      <c r="S33" s="705"/>
      <c r="T33" s="704"/>
      <c r="U33" s="705"/>
      <c r="V33" s="704"/>
      <c r="W33" s="705"/>
      <c r="X33" s="1354"/>
      <c r="Y33" s="374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0"/>
      <c r="Q34" s="1351" t="str">
        <f t="shared" si="8"/>
        <v>土地级别</v>
      </c>
      <c r="R34" s="704" t="s">
        <v>14</v>
      </c>
      <c r="S34" s="705">
        <f t="shared" si="10"/>
        <v>100</v>
      </c>
      <c r="T34" s="704" t="s">
        <v>14</v>
      </c>
      <c r="U34" s="705">
        <f t="shared" si="11"/>
        <v>100</v>
      </c>
      <c r="V34" s="704" t="s">
        <v>14</v>
      </c>
      <c r="W34" s="705">
        <f t="shared" si="12"/>
        <v>100</v>
      </c>
      <c r="X34" s="1354"/>
      <c r="Y34" s="374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0"/>
      <c r="Q35" s="1351">
        <f t="shared" si="8"/>
        <v>111</v>
      </c>
      <c r="R35" s="704" t="s">
        <v>14</v>
      </c>
      <c r="S35" s="705">
        <f t="shared" si="10"/>
        <v>100</v>
      </c>
      <c r="T35" s="704" t="s">
        <v>14</v>
      </c>
      <c r="U35" s="705">
        <f t="shared" si="11"/>
        <v>100</v>
      </c>
      <c r="V35" s="704" t="s">
        <v>14</v>
      </c>
      <c r="W35" s="705">
        <f t="shared" si="12"/>
        <v>100</v>
      </c>
      <c r="X35" s="1354"/>
      <c r="Y35" s="374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3" t="s">
        <v>1696</v>
      </c>
      <c r="Q36" s="1351">
        <f t="shared" si="8"/>
        <v>111</v>
      </c>
      <c r="R36" s="704" t="s">
        <v>14</v>
      </c>
      <c r="S36" s="705">
        <f t="shared" si="10"/>
        <v>100</v>
      </c>
      <c r="T36" s="704" t="s">
        <v>14</v>
      </c>
      <c r="U36" s="705">
        <f t="shared" si="11"/>
        <v>100</v>
      </c>
      <c r="V36" s="704" t="s">
        <v>14</v>
      </c>
      <c r="W36" s="705">
        <f t="shared" si="12"/>
        <v>100</v>
      </c>
      <c r="X36" s="1354"/>
      <c r="Y36" s="374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4"/>
      <c r="Q37" s="1351">
        <f t="shared" si="8"/>
        <v>111</v>
      </c>
      <c r="R37" s="707" t="s">
        <v>14</v>
      </c>
      <c r="S37" s="708">
        <f t="shared" si="10"/>
        <v>100</v>
      </c>
      <c r="T37" s="707" t="s">
        <v>14</v>
      </c>
      <c r="U37" s="708">
        <f t="shared" si="11"/>
        <v>100</v>
      </c>
      <c r="V37" s="707" t="s">
        <v>14</v>
      </c>
      <c r="W37" s="708">
        <f t="shared" si="12"/>
        <v>100</v>
      </c>
      <c r="X37" s="709"/>
      <c r="Y37" s="3744"/>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44"/>
      <c r="Q38" s="1351" t="str">
        <f>B38</f>
        <v>宗地面积</v>
      </c>
      <c r="R38" s="704" t="s">
        <v>14</v>
      </c>
      <c r="S38" s="705" t="e">
        <f t="shared" si="10"/>
        <v>#N/A</v>
      </c>
      <c r="T38" s="704" t="s">
        <v>14</v>
      </c>
      <c r="U38" s="705" t="e">
        <f t="shared" si="11"/>
        <v>#N/A</v>
      </c>
      <c r="V38" s="704" t="s">
        <v>14</v>
      </c>
      <c r="W38" s="705" t="e">
        <f t="shared" si="12"/>
        <v>#N/A</v>
      </c>
      <c r="X38" s="1354"/>
      <c r="Y38" s="374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44"/>
      <c r="Q39" s="1351" t="str">
        <f t="shared" ref="Q39:Q45" si="14">B39</f>
        <v>宗地形状</v>
      </c>
      <c r="R39" s="704" t="s">
        <v>14</v>
      </c>
      <c r="S39" s="705">
        <f t="shared" si="10"/>
        <v>100</v>
      </c>
      <c r="T39" s="704" t="s">
        <v>14</v>
      </c>
      <c r="U39" s="705">
        <f t="shared" si="11"/>
        <v>100</v>
      </c>
      <c r="V39" s="704" t="s">
        <v>14</v>
      </c>
      <c r="W39" s="705">
        <f t="shared" si="12"/>
        <v>100</v>
      </c>
      <c r="X39" s="1354"/>
      <c r="Y39" s="374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44"/>
      <c r="Q40" s="1351" t="str">
        <f t="shared" si="14"/>
        <v>临街宽度及深度</v>
      </c>
      <c r="R40" s="704" t="s">
        <v>14</v>
      </c>
      <c r="S40" s="705">
        <f t="shared" si="10"/>
        <v>100</v>
      </c>
      <c r="T40" s="704" t="s">
        <v>14</v>
      </c>
      <c r="U40" s="705">
        <f t="shared" si="11"/>
        <v>100</v>
      </c>
      <c r="V40" s="704" t="s">
        <v>14</v>
      </c>
      <c r="W40" s="705">
        <f t="shared" si="12"/>
        <v>100</v>
      </c>
      <c r="X40" s="1354"/>
      <c r="Y40" s="374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44"/>
      <c r="Q41" s="1351" t="str">
        <f t="shared" si="14"/>
        <v>宗地开发程度</v>
      </c>
      <c r="R41" s="700" t="s">
        <v>14</v>
      </c>
      <c r="S41" s="701">
        <f t="shared" si="10"/>
        <v>100</v>
      </c>
      <c r="T41" s="700" t="s">
        <v>14</v>
      </c>
      <c r="U41" s="701">
        <f t="shared" si="11"/>
        <v>100</v>
      </c>
      <c r="V41" s="700" t="s">
        <v>14</v>
      </c>
      <c r="W41" s="701">
        <f t="shared" si="12"/>
        <v>100</v>
      </c>
      <c r="X41" s="702"/>
      <c r="Y41" s="374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44" t="s">
        <v>1696</v>
      </c>
      <c r="Q42" s="1351" t="str">
        <f t="shared" si="14"/>
        <v>工程地质条件</v>
      </c>
      <c r="R42" s="704" t="s">
        <v>14</v>
      </c>
      <c r="S42" s="705">
        <f t="shared" si="10"/>
        <v>100</v>
      </c>
      <c r="T42" s="704" t="s">
        <v>14</v>
      </c>
      <c r="U42" s="705">
        <f t="shared" si="11"/>
        <v>100</v>
      </c>
      <c r="V42" s="704" t="s">
        <v>14</v>
      </c>
      <c r="W42" s="705">
        <f t="shared" si="12"/>
        <v>100</v>
      </c>
      <c r="X42" s="1354"/>
      <c r="Y42" s="374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4"/>
      <c r="Q43" s="1351">
        <f t="shared" si="14"/>
        <v>111</v>
      </c>
      <c r="R43" s="704" t="s">
        <v>14</v>
      </c>
      <c r="S43" s="705">
        <f t="shared" si="10"/>
        <v>100</v>
      </c>
      <c r="T43" s="704" t="s">
        <v>14</v>
      </c>
      <c r="U43" s="705">
        <f t="shared" si="11"/>
        <v>100</v>
      </c>
      <c r="V43" s="704" t="s">
        <v>14</v>
      </c>
      <c r="W43" s="705">
        <f t="shared" si="12"/>
        <v>100</v>
      </c>
      <c r="X43" s="1354"/>
      <c r="Y43" s="374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4"/>
      <c r="Q44" s="1351">
        <f t="shared" si="14"/>
        <v>111</v>
      </c>
      <c r="R44" s="704" t="s">
        <v>14</v>
      </c>
      <c r="S44" s="705">
        <f t="shared" si="10"/>
        <v>100</v>
      </c>
      <c r="T44" s="704" t="s">
        <v>14</v>
      </c>
      <c r="U44" s="705">
        <f t="shared" si="11"/>
        <v>100</v>
      </c>
      <c r="V44" s="704" t="s">
        <v>14</v>
      </c>
      <c r="W44" s="705">
        <f t="shared" si="12"/>
        <v>100</v>
      </c>
      <c r="X44" s="1354"/>
      <c r="Y44" s="374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4"/>
      <c r="Q45" s="1351">
        <f t="shared" si="14"/>
        <v>111</v>
      </c>
      <c r="R45" s="707" t="s">
        <v>14</v>
      </c>
      <c r="S45" s="708">
        <f t="shared" si="10"/>
        <v>100</v>
      </c>
      <c r="T45" s="707" t="s">
        <v>14</v>
      </c>
      <c r="U45" s="708">
        <f t="shared" si="11"/>
        <v>100</v>
      </c>
      <c r="V45" s="707" t="s">
        <v>14</v>
      </c>
      <c r="W45" s="708">
        <f t="shared" si="12"/>
        <v>100</v>
      </c>
      <c r="X45" s="709"/>
      <c r="Y45" s="3744"/>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746" t="str">
        <f>A46</f>
        <v>成交单价</v>
      </c>
      <c r="Q46" s="3746"/>
      <c r="R46" s="3734">
        <f>E46</f>
        <v>0</v>
      </c>
      <c r="S46" s="3734"/>
      <c r="T46" s="3734">
        <f>G46</f>
        <v>0</v>
      </c>
      <c r="U46" s="3734"/>
      <c r="V46" s="3734">
        <f>I46</f>
        <v>0</v>
      </c>
      <c r="W46" s="3734"/>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46" t="str">
        <f>A47</f>
        <v>比较价值（元/平方米）</v>
      </c>
      <c r="Q47" s="3746"/>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80" t="str">
        <f>A48</f>
        <v>估价对象XX用房的比较价值（楼面单价，元/平方米）</v>
      </c>
      <c r="Q48" s="3781"/>
      <c r="R48" s="3786" t="e">
        <f>ROUND(IF(D47="简单平均",AVERAGE(R47:W47),R47*F47+T47*H47+V47*J47),0)</f>
        <v>#DIV/0!</v>
      </c>
      <c r="S48" s="3786"/>
      <c r="T48" s="3786"/>
      <c r="U48" s="3786"/>
      <c r="V48" s="3786"/>
      <c r="W48" s="378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721" t="s">
        <v>1887</v>
      </c>
      <c r="H55" s="37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109.19</v>
      </c>
      <c r="F56" s="885" t="e">
        <f t="shared" ref="F56:F64" si="15">ROUND(B56*E56/10000,0)</f>
        <v>#DIV/0!</v>
      </c>
      <c r="G56" s="3717"/>
      <c r="H56" s="374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SUMIF(修正!A59:A70,H60,修正!E59:E70)</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SUMIF(修正!A59:A70,H61,修正!F59:F70)</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SUMIF(修正!A59:A70,H64,修正!G59:G70)</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109.19</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88" t="s">
        <v>1919</v>
      </c>
      <c r="D6" s="3789"/>
      <c r="E6" s="3790" t="s">
        <v>1919</v>
      </c>
      <c r="F6" s="3791"/>
      <c r="G6" s="3788" t="s">
        <v>1919</v>
      </c>
      <c r="H6" s="3789"/>
      <c r="I6" s="3788" t="s">
        <v>1919</v>
      </c>
      <c r="J6" s="3789"/>
      <c r="K6" s="55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700" t="s">
        <v>14</v>
      </c>
      <c r="S8" s="701">
        <f t="shared" si="0"/>
        <v>0</v>
      </c>
      <c r="T8" s="700" t="s">
        <v>14</v>
      </c>
      <c r="U8" s="701">
        <f t="shared" si="1"/>
        <v>0</v>
      </c>
      <c r="V8" s="700" t="s">
        <v>14</v>
      </c>
      <c r="W8" s="701">
        <f t="shared" si="2"/>
        <v>0</v>
      </c>
      <c r="X8" s="702"/>
      <c r="Y8" s="3701" t="s">
        <v>1683</v>
      </c>
      <c r="Z8" s="370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4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46"/>
      <c r="Q10" s="1342" t="str">
        <f t="shared" si="6"/>
        <v>土地使用年限（年）</v>
      </c>
      <c r="R10" s="700" t="s">
        <v>14</v>
      </c>
      <c r="S10" s="701">
        <f t="shared" si="0"/>
        <v>112</v>
      </c>
      <c r="T10" s="700" t="s">
        <v>14</v>
      </c>
      <c r="U10" s="701">
        <f t="shared" si="1"/>
        <v>112</v>
      </c>
      <c r="V10" s="700" t="s">
        <v>14</v>
      </c>
      <c r="W10" s="701">
        <f t="shared" si="2"/>
        <v>112</v>
      </c>
      <c r="X10" s="702"/>
      <c r="Y10" s="3647"/>
      <c r="Z10" s="52" t="str">
        <f t="shared" si="7"/>
        <v>土地使用年限（年）</v>
      </c>
      <c r="AA10" s="703">
        <f t="shared" si="3"/>
        <v>0.8928571428571429</v>
      </c>
      <c r="AB10" s="703">
        <f t="shared" si="4"/>
        <v>0.8928571428571429</v>
      </c>
      <c r="AC10" s="703">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6"/>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6"/>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9" t="s">
        <v>1691</v>
      </c>
      <c r="Q15" s="1351" t="str">
        <f t="shared" si="6"/>
        <v>产业集聚程度</v>
      </c>
      <c r="R15" s="704" t="s">
        <v>14</v>
      </c>
      <c r="S15" s="705">
        <f t="shared" si="0"/>
        <v>100</v>
      </c>
      <c r="T15" s="704" t="s">
        <v>14</v>
      </c>
      <c r="U15" s="705">
        <f t="shared" si="1"/>
        <v>100</v>
      </c>
      <c r="V15" s="704" t="s">
        <v>14</v>
      </c>
      <c r="W15" s="705">
        <f t="shared" si="2"/>
        <v>100</v>
      </c>
      <c r="X15" s="1354"/>
      <c r="Y15" s="373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40"/>
      <c r="Q16" s="1351"/>
      <c r="R16" s="704"/>
      <c r="S16" s="705"/>
      <c r="T16" s="704"/>
      <c r="U16" s="705"/>
      <c r="V16" s="704"/>
      <c r="W16" s="705"/>
      <c r="X16" s="1354"/>
      <c r="Y16" s="374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0"/>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40"/>
      <c r="Q18" s="1351"/>
      <c r="R18" s="704"/>
      <c r="S18" s="705"/>
      <c r="T18" s="704"/>
      <c r="U18" s="705"/>
      <c r="V18" s="704"/>
      <c r="W18" s="705"/>
      <c r="X18" s="1354"/>
      <c r="Y18" s="374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0"/>
      <c r="Q19" s="1351" t="str">
        <f t="shared" ref="Q19:Q33" si="8">B19</f>
        <v>区域土地利用方向</v>
      </c>
      <c r="R19" s="704" t="s">
        <v>14</v>
      </c>
      <c r="S19" s="705">
        <f>F19</f>
        <v>100</v>
      </c>
      <c r="T19" s="704" t="s">
        <v>14</v>
      </c>
      <c r="U19" s="705">
        <f>H19</f>
        <v>100</v>
      </c>
      <c r="V19" s="704" t="s">
        <v>14</v>
      </c>
      <c r="W19" s="705">
        <f>J19</f>
        <v>100</v>
      </c>
      <c r="X19" s="1354"/>
      <c r="Y19" s="374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40"/>
      <c r="Q20" s="1351"/>
      <c r="R20" s="704"/>
      <c r="S20" s="705"/>
      <c r="T20" s="704"/>
      <c r="U20" s="705"/>
      <c r="V20" s="704"/>
      <c r="W20" s="705"/>
      <c r="X20" s="1354"/>
      <c r="Y20" s="374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0"/>
      <c r="Q21" s="1351" t="str">
        <f t="shared" si="8"/>
        <v>环境状况</v>
      </c>
      <c r="R21" s="704" t="s">
        <v>14</v>
      </c>
      <c r="S21" s="705">
        <f>F21</f>
        <v>100</v>
      </c>
      <c r="T21" s="704" t="s">
        <v>14</v>
      </c>
      <c r="U21" s="705">
        <f>H21</f>
        <v>100</v>
      </c>
      <c r="V21" s="704" t="s">
        <v>14</v>
      </c>
      <c r="W21" s="705">
        <f>J21</f>
        <v>100</v>
      </c>
      <c r="X21" s="1354"/>
      <c r="Y21" s="374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40"/>
      <c r="Q22" s="1351"/>
      <c r="R22" s="704"/>
      <c r="S22" s="705"/>
      <c r="T22" s="704"/>
      <c r="U22" s="705"/>
      <c r="V22" s="704"/>
      <c r="W22" s="705"/>
      <c r="X22" s="1354"/>
      <c r="Y22" s="374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0"/>
      <c r="Q23" s="1342" t="str">
        <f t="shared" si="8"/>
        <v>公共配套设施</v>
      </c>
      <c r="R23" s="700" t="s">
        <v>14</v>
      </c>
      <c r="S23" s="701">
        <f>F23</f>
        <v>100</v>
      </c>
      <c r="T23" s="700" t="s">
        <v>14</v>
      </c>
      <c r="U23" s="701">
        <f>H23</f>
        <v>100</v>
      </c>
      <c r="V23" s="700" t="s">
        <v>14</v>
      </c>
      <c r="W23" s="701">
        <f>J23</f>
        <v>100</v>
      </c>
      <c r="X23" s="702"/>
      <c r="Y23" s="374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40"/>
      <c r="Q24" s="1342"/>
      <c r="R24" s="700"/>
      <c r="S24" s="701"/>
      <c r="T24" s="700"/>
      <c r="U24" s="701"/>
      <c r="V24" s="700"/>
      <c r="W24" s="701"/>
      <c r="X24" s="702"/>
      <c r="Y24" s="3740"/>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0"/>
      <c r="Q25" s="1342" t="str">
        <f t="shared" ref="Q25" si="9">B25</f>
        <v>基础设施水平</v>
      </c>
      <c r="R25" s="700" t="s">
        <v>14</v>
      </c>
      <c r="S25" s="701">
        <f>F25</f>
        <v>100</v>
      </c>
      <c r="T25" s="700" t="s">
        <v>14</v>
      </c>
      <c r="U25" s="701">
        <f>H25</f>
        <v>100</v>
      </c>
      <c r="V25" s="700" t="s">
        <v>14</v>
      </c>
      <c r="W25" s="701">
        <f>J25</f>
        <v>100</v>
      </c>
      <c r="X25" s="702"/>
      <c r="Y25" s="374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40"/>
      <c r="Q26" s="1342"/>
      <c r="R26" s="700"/>
      <c r="S26" s="701"/>
      <c r="T26" s="700"/>
      <c r="U26" s="701"/>
      <c r="V26" s="700"/>
      <c r="W26" s="701"/>
      <c r="X26" s="702"/>
      <c r="Y26" s="374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4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0"/>
      <c r="Q28" s="1351" t="str">
        <f t="shared" si="8"/>
        <v>毗邻道路的类型与等级</v>
      </c>
      <c r="R28" s="704" t="s">
        <v>14</v>
      </c>
      <c r="S28" s="705">
        <f t="shared" si="10"/>
        <v>100</v>
      </c>
      <c r="T28" s="704" t="s">
        <v>14</v>
      </c>
      <c r="U28" s="705">
        <f t="shared" si="11"/>
        <v>100</v>
      </c>
      <c r="V28" s="704" t="s">
        <v>14</v>
      </c>
      <c r="W28" s="705">
        <f t="shared" si="12"/>
        <v>100</v>
      </c>
      <c r="X28" s="1354"/>
      <c r="Y28" s="374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40"/>
      <c r="Q29" s="1351"/>
      <c r="R29" s="704"/>
      <c r="S29" s="705"/>
      <c r="T29" s="704"/>
      <c r="U29" s="705"/>
      <c r="V29" s="704"/>
      <c r="W29" s="705"/>
      <c r="X29" s="1354"/>
      <c r="Y29" s="374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0"/>
      <c r="Q30" s="1351" t="str">
        <f t="shared" si="8"/>
        <v>土地级别</v>
      </c>
      <c r="R30" s="704" t="s">
        <v>14</v>
      </c>
      <c r="S30" s="705">
        <f t="shared" si="10"/>
        <v>100</v>
      </c>
      <c r="T30" s="704" t="s">
        <v>14</v>
      </c>
      <c r="U30" s="705">
        <f t="shared" si="11"/>
        <v>100</v>
      </c>
      <c r="V30" s="704" t="s">
        <v>14</v>
      </c>
      <c r="W30" s="705">
        <f t="shared" si="12"/>
        <v>100</v>
      </c>
      <c r="X30" s="1354"/>
      <c r="Y30" s="374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0"/>
      <c r="Q31" s="1351">
        <f t="shared" si="8"/>
        <v>111</v>
      </c>
      <c r="R31" s="704" t="s">
        <v>14</v>
      </c>
      <c r="S31" s="705">
        <f t="shared" si="10"/>
        <v>100</v>
      </c>
      <c r="T31" s="704" t="s">
        <v>14</v>
      </c>
      <c r="U31" s="705">
        <f t="shared" si="11"/>
        <v>100</v>
      </c>
      <c r="V31" s="704" t="s">
        <v>14</v>
      </c>
      <c r="W31" s="705">
        <f t="shared" si="12"/>
        <v>100</v>
      </c>
      <c r="X31" s="1354"/>
      <c r="Y31" s="374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3" t="s">
        <v>1696</v>
      </c>
      <c r="Q32" s="1351">
        <f t="shared" si="8"/>
        <v>111</v>
      </c>
      <c r="R32" s="704" t="s">
        <v>14</v>
      </c>
      <c r="S32" s="705">
        <f t="shared" si="10"/>
        <v>100</v>
      </c>
      <c r="T32" s="704" t="s">
        <v>14</v>
      </c>
      <c r="U32" s="705">
        <f t="shared" si="11"/>
        <v>100</v>
      </c>
      <c r="V32" s="704" t="s">
        <v>14</v>
      </c>
      <c r="W32" s="705">
        <f t="shared" si="12"/>
        <v>100</v>
      </c>
      <c r="X32" s="1354"/>
      <c r="Y32" s="374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4"/>
      <c r="Q33" s="1351">
        <f t="shared" si="8"/>
        <v>111</v>
      </c>
      <c r="R33" s="707" t="s">
        <v>14</v>
      </c>
      <c r="S33" s="708">
        <f t="shared" si="10"/>
        <v>100</v>
      </c>
      <c r="T33" s="707" t="s">
        <v>14</v>
      </c>
      <c r="U33" s="708">
        <f t="shared" si="11"/>
        <v>100</v>
      </c>
      <c r="V33" s="707" t="s">
        <v>14</v>
      </c>
      <c r="W33" s="708">
        <f t="shared" si="12"/>
        <v>100</v>
      </c>
      <c r="X33" s="709"/>
      <c r="Y33" s="3744"/>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4"/>
      <c r="Q34" s="1351" t="str">
        <f>B34</f>
        <v>宗地面积</v>
      </c>
      <c r="R34" s="704" t="s">
        <v>14</v>
      </c>
      <c r="S34" s="705" t="e">
        <f t="shared" si="10"/>
        <v>#N/A</v>
      </c>
      <c r="T34" s="704" t="s">
        <v>14</v>
      </c>
      <c r="U34" s="705" t="e">
        <f t="shared" si="11"/>
        <v>#N/A</v>
      </c>
      <c r="V34" s="704" t="s">
        <v>14</v>
      </c>
      <c r="W34" s="705" t="e">
        <f t="shared" si="12"/>
        <v>#N/A</v>
      </c>
      <c r="X34" s="1354"/>
      <c r="Y34" s="374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44"/>
      <c r="Q35" s="1351" t="str">
        <f t="shared" ref="Q35:Q40" si="14">B35</f>
        <v>宗地形状</v>
      </c>
      <c r="R35" s="704" t="s">
        <v>14</v>
      </c>
      <c r="S35" s="705">
        <f t="shared" si="10"/>
        <v>100</v>
      </c>
      <c r="T35" s="704" t="s">
        <v>14</v>
      </c>
      <c r="U35" s="705">
        <f t="shared" si="11"/>
        <v>100</v>
      </c>
      <c r="V35" s="704" t="s">
        <v>14</v>
      </c>
      <c r="W35" s="705">
        <f t="shared" si="12"/>
        <v>100</v>
      </c>
      <c r="X35" s="1354"/>
      <c r="Y35" s="374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44"/>
      <c r="Q36" s="1351" t="str">
        <f t="shared" si="14"/>
        <v>宗地开发程度</v>
      </c>
      <c r="R36" s="700" t="s">
        <v>14</v>
      </c>
      <c r="S36" s="701">
        <f t="shared" si="10"/>
        <v>100</v>
      </c>
      <c r="T36" s="700" t="s">
        <v>14</v>
      </c>
      <c r="U36" s="701">
        <f t="shared" si="11"/>
        <v>100</v>
      </c>
      <c r="V36" s="700" t="s">
        <v>14</v>
      </c>
      <c r="W36" s="701">
        <f t="shared" si="12"/>
        <v>100</v>
      </c>
      <c r="X36" s="702"/>
      <c r="Y36" s="374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44" t="s">
        <v>1696</v>
      </c>
      <c r="Q37" s="1351" t="str">
        <f t="shared" si="14"/>
        <v>工程地质条件</v>
      </c>
      <c r="R37" s="704" t="s">
        <v>14</v>
      </c>
      <c r="S37" s="705">
        <f t="shared" si="10"/>
        <v>100</v>
      </c>
      <c r="T37" s="704" t="s">
        <v>14</v>
      </c>
      <c r="U37" s="705">
        <f t="shared" si="11"/>
        <v>100</v>
      </c>
      <c r="V37" s="704" t="s">
        <v>14</v>
      </c>
      <c r="W37" s="705">
        <f t="shared" si="12"/>
        <v>100</v>
      </c>
      <c r="X37" s="1354"/>
      <c r="Y37" s="374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4"/>
      <c r="Q38" s="1351">
        <f t="shared" si="14"/>
        <v>111</v>
      </c>
      <c r="R38" s="704" t="s">
        <v>14</v>
      </c>
      <c r="S38" s="705">
        <f t="shared" si="10"/>
        <v>100</v>
      </c>
      <c r="T38" s="704" t="s">
        <v>14</v>
      </c>
      <c r="U38" s="705">
        <f t="shared" si="11"/>
        <v>100</v>
      </c>
      <c r="V38" s="704" t="s">
        <v>14</v>
      </c>
      <c r="W38" s="705">
        <f t="shared" si="12"/>
        <v>100</v>
      </c>
      <c r="X38" s="1354"/>
      <c r="Y38" s="374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4"/>
      <c r="Q39" s="1351">
        <f t="shared" si="14"/>
        <v>111</v>
      </c>
      <c r="R39" s="704" t="s">
        <v>14</v>
      </c>
      <c r="S39" s="705">
        <f t="shared" si="10"/>
        <v>100</v>
      </c>
      <c r="T39" s="704" t="s">
        <v>14</v>
      </c>
      <c r="U39" s="705">
        <f t="shared" si="11"/>
        <v>100</v>
      </c>
      <c r="V39" s="704" t="s">
        <v>14</v>
      </c>
      <c r="W39" s="705">
        <f t="shared" si="12"/>
        <v>100</v>
      </c>
      <c r="X39" s="1354"/>
      <c r="Y39" s="374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4"/>
      <c r="Q40" s="1351">
        <f t="shared" si="14"/>
        <v>111</v>
      </c>
      <c r="R40" s="707" t="s">
        <v>14</v>
      </c>
      <c r="S40" s="708">
        <f t="shared" si="10"/>
        <v>100</v>
      </c>
      <c r="T40" s="707" t="s">
        <v>14</v>
      </c>
      <c r="U40" s="708">
        <f t="shared" si="11"/>
        <v>100</v>
      </c>
      <c r="V40" s="707" t="s">
        <v>14</v>
      </c>
      <c r="W40" s="708">
        <f t="shared" si="12"/>
        <v>100</v>
      </c>
      <c r="X40" s="709"/>
      <c r="Y40" s="3744"/>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746" t="str">
        <f>A41</f>
        <v>成交单价</v>
      </c>
      <c r="Q41" s="3746"/>
      <c r="R41" s="3734">
        <f>E41</f>
        <v>0</v>
      </c>
      <c r="S41" s="3734"/>
      <c r="T41" s="3734">
        <f>G41</f>
        <v>0</v>
      </c>
      <c r="U41" s="3734"/>
      <c r="V41" s="3734">
        <f>I41</f>
        <v>0</v>
      </c>
      <c r="W41" s="3734"/>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46" t="str">
        <f>A42</f>
        <v>比较价值（元/平方米）</v>
      </c>
      <c r="Q42" s="3746"/>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80" t="str">
        <f>A43</f>
        <v>估价对象XX用房的比较价值（楼面单价，元/平方米）</v>
      </c>
      <c r="Q43" s="3781"/>
      <c r="R43" s="3786" t="e">
        <f>ROUND(IF(D42="简单平均",AVERAGE(R42:W42),R42*F42+T42*H42+V42*J42),0)</f>
        <v>#DIV/0!</v>
      </c>
      <c r="S43" s="3786"/>
      <c r="T43" s="3786"/>
      <c r="U43" s="3786"/>
      <c r="V43" s="3786"/>
      <c r="W43" s="378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721" t="s">
        <v>1887</v>
      </c>
      <c r="H50" s="3787"/>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109.19</v>
      </c>
      <c r="F51" s="639" t="e">
        <f t="shared" ref="F51:F60" si="15">ROUND(B51*E51/10000,0)</f>
        <v>#DIV/0!</v>
      </c>
      <c r="G51" s="3717"/>
      <c r="H51" s="374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SUMIF(修正!A59:A70,H56,修正!E59:E70)</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SUMIF(修正!A59:A70,H57,修正!F59:F70)</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SUMIF(修正!A59:A70,H60,修正!G59:G70)</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5" t="s">
        <v>2084</v>
      </c>
      <c r="D1" s="3796"/>
      <c r="E1" s="3796"/>
      <c r="F1" s="3796"/>
      <c r="G1" s="3796"/>
      <c r="H1" s="3796"/>
      <c r="I1" s="3796"/>
      <c r="J1" s="3796"/>
      <c r="K1" s="3796"/>
      <c r="L1" s="3796"/>
      <c r="M1" s="3796"/>
      <c r="N1" s="3796"/>
      <c r="O1" s="3796"/>
      <c r="P1" s="3796"/>
      <c r="Q1" s="3796"/>
      <c r="R1" s="3796"/>
      <c r="S1" s="3797"/>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t="e">
        <f>SUM(B24:B10000)</f>
        <v>#REF!</v>
      </c>
      <c r="C22" s="3792" t="s">
        <v>27</v>
      </c>
      <c r="D22" s="3793"/>
      <c r="E22" s="3793"/>
      <c r="F22" s="3793"/>
      <c r="G22" s="3793"/>
      <c r="H22" s="3793"/>
      <c r="I22" s="3793"/>
      <c r="J22" s="3793"/>
      <c r="K22" s="3793"/>
      <c r="L22" s="3793"/>
      <c r="M22" s="3793"/>
      <c r="N22" s="3793"/>
      <c r="O22" s="3793"/>
      <c r="P22" s="3793"/>
      <c r="Q22" s="3794"/>
      <c r="R22" s="662"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7" t="s">
        <v>3425</v>
      </c>
      <c r="B24" s="664" t="e">
        <f>#REF!</f>
        <v>#REF!</v>
      </c>
      <c r="C24" s="2808">
        <v>1</v>
      </c>
      <c r="D24" s="2809"/>
      <c r="E24" s="2808">
        <v>1</v>
      </c>
      <c r="F24" s="2809"/>
      <c r="G24" s="2808">
        <v>1</v>
      </c>
      <c r="H24" s="2809"/>
      <c r="I24" s="2808">
        <v>1</v>
      </c>
      <c r="J24" s="2809"/>
      <c r="K24" s="2808">
        <v>1</v>
      </c>
      <c r="L24" s="2809"/>
      <c r="M24" s="2808">
        <v>1</v>
      </c>
      <c r="N24" s="2809"/>
      <c r="O24" s="2808">
        <v>1</v>
      </c>
      <c r="P24" s="2809" t="s">
        <v>3442</v>
      </c>
      <c r="Q24" s="2808">
        <v>1</v>
      </c>
      <c r="R24" s="667">
        <f ca="1">结果表!G20</f>
        <v>12526</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t="e">
        <f>#REF!</f>
        <v>#REF!</v>
      </c>
      <c r="B25" s="3478"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3442</v>
      </c>
      <c r="Q25" s="21">
        <f>(SUMIF($17:$17,P25,$18:$18)-SUMIF($17:$17,$P$24,$18:$18)+100)/100</f>
        <v>1</v>
      </c>
      <c r="R25" s="662" t="e">
        <f>IF(B25="",0,ROUND($R$24*C25*E25*G25*I25*K25*M25*O25*Q25,0))</f>
        <v>#REF!</v>
      </c>
      <c r="S25" s="316" t="e">
        <f t="shared" si="11"/>
        <v>#REF!</v>
      </c>
    </row>
    <row r="26" spans="1:45">
      <c r="A26" s="54" t="e">
        <f>#REF!</f>
        <v>#REF!</v>
      </c>
      <c r="B26" s="3478"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3442</v>
      </c>
      <c r="Q26" s="21">
        <f t="shared" ref="Q26:Q89" si="19">(SUMIF($17:$17,P26,$18:$18)-SUMIF($17:$17,$P$24,$18:$18)+100)/100</f>
        <v>1</v>
      </c>
      <c r="R26" s="662" t="e">
        <f t="shared" ref="R26:R89" si="20">IF(B26="",0,ROUND($R$24*C26*E26*G26*I26*K26*M26*O26*Q26,0))</f>
        <v>#REF!</v>
      </c>
      <c r="S26" s="316" t="e">
        <f t="shared" si="11"/>
        <v>#REF!</v>
      </c>
    </row>
    <row r="27" spans="1:45">
      <c r="A27" s="54" t="e">
        <f>#REF!</f>
        <v>#REF!</v>
      </c>
      <c r="B27" s="3478"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3442</v>
      </c>
      <c r="Q27" s="21">
        <f t="shared" si="19"/>
        <v>1</v>
      </c>
      <c r="R27" s="662" t="e">
        <f t="shared" si="20"/>
        <v>#REF!</v>
      </c>
      <c r="S27" s="316" t="e">
        <f t="shared" si="11"/>
        <v>#REF!</v>
      </c>
    </row>
    <row r="28" spans="1:45">
      <c r="A28" s="54" t="e">
        <f>#REF!</f>
        <v>#REF!</v>
      </c>
      <c r="B28" s="3478"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9" t="s">
        <v>3442</v>
      </c>
      <c r="Q28" s="21">
        <f t="shared" si="19"/>
        <v>1</v>
      </c>
      <c r="R28" s="662" t="e">
        <f t="shared" si="20"/>
        <v>#REF!</v>
      </c>
      <c r="S28" s="316" t="e">
        <f t="shared" si="11"/>
        <v>#REF!</v>
      </c>
    </row>
    <row r="29" spans="1:45">
      <c r="A29" s="54" t="e">
        <f>#REF!</f>
        <v>#REF!</v>
      </c>
      <c r="B29" s="3478"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9" t="s">
        <v>3442</v>
      </c>
      <c r="Q29" s="21">
        <f t="shared" si="19"/>
        <v>1</v>
      </c>
      <c r="R29" s="662" t="e">
        <f t="shared" si="20"/>
        <v>#REF!</v>
      </c>
      <c r="S29" s="316" t="e">
        <f t="shared" si="11"/>
        <v>#REF!</v>
      </c>
    </row>
    <row r="30" spans="1:45">
      <c r="A30" s="54" t="e">
        <f>#REF!</f>
        <v>#REF!</v>
      </c>
      <c r="B30" s="3478"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3442</v>
      </c>
      <c r="Q30" s="21">
        <f t="shared" si="19"/>
        <v>1</v>
      </c>
      <c r="R30" s="662" t="e">
        <f t="shared" si="20"/>
        <v>#REF!</v>
      </c>
      <c r="S30" s="316" t="e">
        <f t="shared" si="11"/>
        <v>#REF!</v>
      </c>
    </row>
    <row r="31" spans="1:45">
      <c r="A31" s="54" t="e">
        <f>#REF!</f>
        <v>#REF!</v>
      </c>
      <c r="B31" s="3478"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3442</v>
      </c>
      <c r="Q31" s="21">
        <f t="shared" si="19"/>
        <v>1</v>
      </c>
      <c r="R31" s="662" t="e">
        <f t="shared" si="20"/>
        <v>#REF!</v>
      </c>
      <c r="S31" s="316" t="e">
        <f t="shared" si="11"/>
        <v>#REF!</v>
      </c>
    </row>
    <row r="32" spans="1:45">
      <c r="A32" s="54" t="e">
        <f>#REF!</f>
        <v>#REF!</v>
      </c>
      <c r="B32" s="3478"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9" t="s">
        <v>3442</v>
      </c>
      <c r="Q32" s="21">
        <f t="shared" si="19"/>
        <v>1</v>
      </c>
      <c r="R32" s="662" t="e">
        <f t="shared" si="20"/>
        <v>#REF!</v>
      </c>
      <c r="S32" s="316" t="e">
        <f t="shared" si="11"/>
        <v>#REF!</v>
      </c>
    </row>
    <row r="33" spans="1:19">
      <c r="A33" s="54" t="e">
        <f>#REF!</f>
        <v>#REF!</v>
      </c>
      <c r="B33" s="3478"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9" t="s">
        <v>3442</v>
      </c>
      <c r="Q33" s="21">
        <f t="shared" si="19"/>
        <v>1</v>
      </c>
      <c r="R33" s="662" t="e">
        <f t="shared" si="20"/>
        <v>#REF!</v>
      </c>
      <c r="S33" s="316" t="e">
        <f t="shared" si="11"/>
        <v>#REF!</v>
      </c>
    </row>
    <row r="34" spans="1:19">
      <c r="A34" s="54" t="e">
        <f>#REF!</f>
        <v>#REF!</v>
      </c>
      <c r="B34" s="3478"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9" t="s">
        <v>3442</v>
      </c>
      <c r="Q34" s="21">
        <f t="shared" si="19"/>
        <v>1</v>
      </c>
      <c r="R34" s="662" t="e">
        <f t="shared" si="20"/>
        <v>#REF!</v>
      </c>
      <c r="S34" s="316" t="e">
        <f t="shared" si="11"/>
        <v>#REF!</v>
      </c>
    </row>
    <row r="35" spans="1:19">
      <c r="A35" s="54" t="e">
        <f>#REF!</f>
        <v>#REF!</v>
      </c>
      <c r="B35" s="3478"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9" t="s">
        <v>3442</v>
      </c>
      <c r="Q35" s="21">
        <f t="shared" si="19"/>
        <v>1</v>
      </c>
      <c r="R35" s="662" t="e">
        <f t="shared" si="20"/>
        <v>#REF!</v>
      </c>
      <c r="S35" s="316" t="e">
        <f t="shared" si="11"/>
        <v>#REF!</v>
      </c>
    </row>
    <row r="36" spans="1:19">
      <c r="A36" s="54" t="e">
        <f>#REF!</f>
        <v>#REF!</v>
      </c>
      <c r="B36" s="3478"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9" t="s">
        <v>3442</v>
      </c>
      <c r="Q36" s="21">
        <f t="shared" si="19"/>
        <v>1</v>
      </c>
      <c r="R36" s="662" t="e">
        <f t="shared" si="20"/>
        <v>#REF!</v>
      </c>
      <c r="S36" s="316" t="e">
        <f t="shared" si="11"/>
        <v>#REF!</v>
      </c>
    </row>
    <row r="37" spans="1:19">
      <c r="A37" s="54" t="e">
        <f>#REF!</f>
        <v>#REF!</v>
      </c>
      <c r="B37" s="3478"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9" t="s">
        <v>3442</v>
      </c>
      <c r="Q37" s="21">
        <f t="shared" si="19"/>
        <v>1</v>
      </c>
      <c r="R37" s="662" t="e">
        <f t="shared" si="20"/>
        <v>#REF!</v>
      </c>
      <c r="S37" s="316" t="e">
        <f t="shared" si="11"/>
        <v>#REF!</v>
      </c>
    </row>
    <row r="38" spans="1:19">
      <c r="A38" s="54" t="e">
        <f>#REF!</f>
        <v>#REF!</v>
      </c>
      <c r="B38" s="3478"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9" t="s">
        <v>3442</v>
      </c>
      <c r="Q38" s="21">
        <f t="shared" si="19"/>
        <v>1</v>
      </c>
      <c r="R38" s="662" t="e">
        <f t="shared" si="20"/>
        <v>#REF!</v>
      </c>
      <c r="S38" s="316" t="e">
        <f t="shared" si="11"/>
        <v>#REF!</v>
      </c>
    </row>
    <row r="39" spans="1:19">
      <c r="A39" s="54" t="e">
        <f>#REF!</f>
        <v>#REF!</v>
      </c>
      <c r="B39" s="3478"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9" t="s">
        <v>3442</v>
      </c>
      <c r="Q39" s="21">
        <f t="shared" si="19"/>
        <v>1</v>
      </c>
      <c r="R39" s="662" t="e">
        <f t="shared" si="20"/>
        <v>#REF!</v>
      </c>
      <c r="S39" s="316" t="e">
        <f t="shared" si="11"/>
        <v>#REF!</v>
      </c>
    </row>
    <row r="40" spans="1:19">
      <c r="A40" s="54" t="e">
        <f>#REF!</f>
        <v>#REF!</v>
      </c>
      <c r="B40" s="3478"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9" t="s">
        <v>3442</v>
      </c>
      <c r="Q40" s="21">
        <f t="shared" si="19"/>
        <v>1</v>
      </c>
      <c r="R40" s="662" t="e">
        <f t="shared" si="20"/>
        <v>#REF!</v>
      </c>
      <c r="S40" s="316" t="e">
        <f t="shared" si="11"/>
        <v>#REF!</v>
      </c>
    </row>
    <row r="41" spans="1:19">
      <c r="A41" s="54" t="e">
        <f>#REF!</f>
        <v>#REF!</v>
      </c>
      <c r="B41" s="3478"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9" t="s">
        <v>3442</v>
      </c>
      <c r="Q41" s="21">
        <f t="shared" si="19"/>
        <v>1</v>
      </c>
      <c r="R41" s="662" t="e">
        <f t="shared" si="20"/>
        <v>#REF!</v>
      </c>
      <c r="S41" s="316" t="e">
        <f t="shared" si="11"/>
        <v>#REF!</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79</v>
      </c>
      <c r="C2" s="2144" t="s">
        <v>2074</v>
      </c>
      <c r="D2" s="2144" t="s">
        <v>2075</v>
      </c>
      <c r="E2" s="2611">
        <f ca="1">SUMIF(E6:E13,"&lt;&gt;#ref!",E6:E13)</f>
        <v>109.19</v>
      </c>
      <c r="F2" s="2791"/>
      <c r="G2" s="2791"/>
      <c r="H2" s="2791"/>
      <c r="I2" s="2791"/>
      <c r="J2" s="2791"/>
      <c r="K2" s="2791"/>
      <c r="L2" s="2791"/>
      <c r="M2" s="2791"/>
      <c r="N2" s="2791"/>
      <c r="O2" s="2791"/>
      <c r="P2" s="2791"/>
    </row>
    <row r="3" spans="1:16" ht="15.75">
      <c r="A3" s="2144" t="s">
        <v>2076</v>
      </c>
      <c r="B3" s="2601">
        <f ca="1">ROUND(B2*10000/E2,0)</f>
        <v>7235</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79</v>
      </c>
      <c r="C6" s="2144" t="s">
        <v>2074</v>
      </c>
      <c r="D6" s="2791"/>
      <c r="E6" s="2611">
        <f ca="1">SUMIF(INDIRECT("'"&amp;A6&amp;"'"&amp;"!C:C"),"建筑面积",INDIRECT("'"&amp;A6&amp;"'"&amp;"!D:D"))</f>
        <v>109.19</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08" t="s">
        <v>2606</v>
      </c>
      <c r="B20" s="3798" t="s">
        <v>2627</v>
      </c>
      <c r="C20" s="3475" t="s">
        <v>2438</v>
      </c>
      <c r="D20" s="3475"/>
      <c r="E20" s="3103">
        <v>1</v>
      </c>
      <c r="F20" s="3104" t="s">
        <v>2439</v>
      </c>
      <c r="G20" s="3104"/>
    </row>
    <row r="21" spans="1:13" ht="19.5" customHeight="1">
      <c r="A21" s="3809"/>
      <c r="B21" s="3799"/>
      <c r="C21" s="3465" t="s">
        <v>2440</v>
      </c>
      <c r="D21" s="3465"/>
      <c r="E21" s="3107">
        <v>1</v>
      </c>
      <c r="F21" s="3104" t="s">
        <v>2441</v>
      </c>
      <c r="G21" s="3104"/>
    </row>
    <row r="22" spans="1:13" ht="19.5" customHeight="1">
      <c r="A22" s="3809"/>
      <c r="B22" s="3799"/>
      <c r="C22" s="3465" t="s">
        <v>2442</v>
      </c>
      <c r="D22" s="3465"/>
      <c r="E22" s="3107">
        <v>0.9</v>
      </c>
      <c r="F22" s="3104" t="s">
        <v>2443</v>
      </c>
      <c r="G22" s="3104"/>
    </row>
    <row r="23" spans="1:13" ht="19.5" customHeight="1">
      <c r="A23" s="3809"/>
      <c r="B23" s="3799"/>
      <c r="C23" s="3465" t="s">
        <v>2444</v>
      </c>
      <c r="D23" s="3465"/>
      <c r="E23" s="3107">
        <v>0.9</v>
      </c>
      <c r="F23" s="3104" t="s">
        <v>2445</v>
      </c>
      <c r="G23" s="3104"/>
    </row>
    <row r="24" spans="1:13" ht="19.5" customHeight="1">
      <c r="A24" s="3809"/>
      <c r="B24" s="3799"/>
      <c r="C24" s="3465" t="s">
        <v>2446</v>
      </c>
      <c r="D24" s="3465"/>
      <c r="E24" s="3107">
        <v>0.8</v>
      </c>
      <c r="F24" s="3104" t="s">
        <v>2447</v>
      </c>
      <c r="G24" s="3104"/>
    </row>
    <row r="25" spans="1:13" ht="19.5" customHeight="1">
      <c r="A25" s="3809"/>
      <c r="B25" s="3799"/>
      <c r="C25" s="3465" t="s">
        <v>2448</v>
      </c>
      <c r="D25" s="3465"/>
      <c r="E25" s="3107">
        <v>0.8</v>
      </c>
      <c r="F25" s="3104"/>
      <c r="G25" s="3104"/>
    </row>
    <row r="26" spans="1:13" ht="19.5" customHeight="1">
      <c r="A26" s="3809"/>
      <c r="B26" s="3799"/>
      <c r="C26" s="3468" t="s">
        <v>3406</v>
      </c>
      <c r="D26" s="3468"/>
      <c r="E26" s="3469">
        <v>0.43</v>
      </c>
      <c r="F26" s="3104"/>
      <c r="G26" s="3104"/>
    </row>
    <row r="27" spans="1:13" ht="19.5" customHeight="1" thickBot="1">
      <c r="A27" s="3810"/>
      <c r="B27" s="3800"/>
      <c r="C27" s="3470" t="s">
        <v>3407</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801" t="s">
        <v>2630</v>
      </c>
      <c r="B29" s="3804" t="s">
        <v>2611</v>
      </c>
      <c r="C29" s="3101" t="s">
        <v>2451</v>
      </c>
      <c r="D29" s="3102"/>
      <c r="E29" s="3103">
        <v>1</v>
      </c>
      <c r="F29" s="3104" t="s">
        <v>2452</v>
      </c>
      <c r="G29" s="3104"/>
    </row>
    <row r="30" spans="1:13" ht="19.5" customHeight="1">
      <c r="A30" s="3802"/>
      <c r="B30" s="3805"/>
      <c r="C30" s="3105" t="s">
        <v>2453</v>
      </c>
      <c r="D30" s="3106"/>
      <c r="E30" s="3107">
        <v>1</v>
      </c>
      <c r="F30" s="3104" t="s">
        <v>2454</v>
      </c>
      <c r="G30" s="3104"/>
    </row>
    <row r="31" spans="1:13" ht="19.5" customHeight="1">
      <c r="A31" s="3802"/>
      <c r="B31" s="3805"/>
      <c r="C31" s="3105" t="s">
        <v>2455</v>
      </c>
      <c r="D31" s="3106"/>
      <c r="E31" s="3107">
        <v>0.8</v>
      </c>
      <c r="F31" s="3104" t="s">
        <v>2456</v>
      </c>
      <c r="G31" s="3104"/>
    </row>
    <row r="32" spans="1:13" ht="19.5" customHeight="1">
      <c r="A32" s="3802"/>
      <c r="B32" s="3805"/>
      <c r="C32" s="3105" t="s">
        <v>2457</v>
      </c>
      <c r="D32" s="3106"/>
      <c r="E32" s="3107">
        <v>0.8</v>
      </c>
      <c r="F32" s="3104" t="s">
        <v>2458</v>
      </c>
      <c r="G32" s="3104"/>
    </row>
    <row r="33" spans="1:7" ht="19.5" customHeight="1">
      <c r="A33" s="3802"/>
      <c r="B33" s="3805"/>
      <c r="C33" s="3105" t="s">
        <v>2459</v>
      </c>
      <c r="D33" s="3106"/>
      <c r="E33" s="3107">
        <v>0.8</v>
      </c>
      <c r="F33" s="3104" t="s">
        <v>2460</v>
      </c>
      <c r="G33" s="3104"/>
    </row>
    <row r="34" spans="1:7" ht="19.5" customHeight="1">
      <c r="A34" s="3802"/>
      <c r="B34" s="3805"/>
      <c r="C34" s="3105" t="s">
        <v>2461</v>
      </c>
      <c r="D34" s="3106"/>
      <c r="E34" s="3107">
        <v>0.7</v>
      </c>
      <c r="F34" s="3104" t="s">
        <v>2462</v>
      </c>
      <c r="G34" s="3104"/>
    </row>
    <row r="35" spans="1:7" ht="19.5" customHeight="1">
      <c r="A35" s="3802"/>
      <c r="B35" s="3805"/>
      <c r="C35" s="3105" t="s">
        <v>2463</v>
      </c>
      <c r="D35" s="3106"/>
      <c r="E35" s="3107">
        <v>0.8</v>
      </c>
      <c r="F35" s="3104" t="s">
        <v>2464</v>
      </c>
      <c r="G35" s="3104"/>
    </row>
    <row r="36" spans="1:7" ht="19.5" customHeight="1">
      <c r="A36" s="3802"/>
      <c r="B36" s="3805"/>
      <c r="C36" s="3105" t="s">
        <v>2465</v>
      </c>
      <c r="D36" s="3106"/>
      <c r="E36" s="3107">
        <v>0.6</v>
      </c>
      <c r="F36" s="3104" t="s">
        <v>2466</v>
      </c>
      <c r="G36" s="3104"/>
    </row>
    <row r="37" spans="1:7" ht="19.5" customHeight="1">
      <c r="A37" s="3802"/>
      <c r="B37" s="3805"/>
      <c r="C37" s="3105" t="s">
        <v>2467</v>
      </c>
      <c r="D37" s="3106"/>
      <c r="E37" s="3107">
        <v>0.2</v>
      </c>
      <c r="F37" s="3104" t="s">
        <v>2468</v>
      </c>
      <c r="G37" s="3104"/>
    </row>
    <row r="38" spans="1:7" ht="19.5" customHeight="1">
      <c r="A38" s="3802"/>
      <c r="B38" s="3805"/>
      <c r="C38" s="3105" t="s">
        <v>2469</v>
      </c>
      <c r="D38" s="3106"/>
      <c r="E38" s="3107">
        <v>0.2</v>
      </c>
      <c r="F38" s="3104" t="s">
        <v>2470</v>
      </c>
      <c r="G38" s="3104"/>
    </row>
    <row r="39" spans="1:7" ht="19.5" customHeight="1">
      <c r="A39" s="3802"/>
      <c r="B39" s="3806" t="s">
        <v>2631</v>
      </c>
      <c r="C39" s="3105" t="s">
        <v>2471</v>
      </c>
      <c r="D39" s="3106"/>
      <c r="E39" s="3107">
        <v>0.6</v>
      </c>
      <c r="F39" s="3104" t="s">
        <v>2472</v>
      </c>
      <c r="G39" s="3104"/>
    </row>
    <row r="40" spans="1:7" ht="19.5" customHeight="1">
      <c r="A40" s="3802"/>
      <c r="B40" s="3805"/>
      <c r="C40" s="3105" t="s">
        <v>2473</v>
      </c>
      <c r="D40" s="3106"/>
      <c r="E40" s="3107">
        <v>0.6</v>
      </c>
      <c r="F40" s="3104" t="s">
        <v>2474</v>
      </c>
      <c r="G40" s="3104"/>
    </row>
    <row r="41" spans="1:7" ht="19.5" customHeight="1" thickBot="1">
      <c r="A41" s="3803"/>
      <c r="B41" s="3807"/>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08" t="s">
        <v>2609</v>
      </c>
      <c r="B43" s="3804" t="s">
        <v>2633</v>
      </c>
      <c r="C43" s="3101" t="s">
        <v>2478</v>
      </c>
      <c r="D43" s="3102"/>
      <c r="E43" s="3103">
        <v>1</v>
      </c>
      <c r="F43" s="3104" t="s">
        <v>2479</v>
      </c>
      <c r="G43" s="3104"/>
    </row>
    <row r="44" spans="1:7" ht="19.5" customHeight="1">
      <c r="A44" s="3809"/>
      <c r="B44" s="3805"/>
      <c r="C44" s="3105" t="s">
        <v>2480</v>
      </c>
      <c r="D44" s="3106"/>
      <c r="E44" s="3107">
        <v>1</v>
      </c>
      <c r="F44" s="3104" t="s">
        <v>2481</v>
      </c>
      <c r="G44" s="3104"/>
    </row>
    <row r="45" spans="1:7" ht="19.5" customHeight="1">
      <c r="A45" s="3809"/>
      <c r="B45" s="3811"/>
      <c r="C45" s="3105" t="s">
        <v>2482</v>
      </c>
      <c r="D45" s="3106"/>
      <c r="E45" s="3107">
        <v>1.5</v>
      </c>
      <c r="F45" s="3104" t="s">
        <v>2483</v>
      </c>
      <c r="G45" s="3104"/>
    </row>
    <row r="46" spans="1:7" ht="19.5" customHeight="1">
      <c r="A46" s="3809"/>
      <c r="B46" s="3116" t="s">
        <v>2634</v>
      </c>
      <c r="C46" s="3105" t="s">
        <v>2635</v>
      </c>
      <c r="D46" s="3106"/>
      <c r="E46" s="3107">
        <v>2</v>
      </c>
      <c r="F46" s="3104" t="s">
        <v>2484</v>
      </c>
      <c r="G46" s="3104"/>
    </row>
    <row r="47" spans="1:7" ht="19.5" customHeight="1">
      <c r="A47" s="3809"/>
      <c r="B47" s="3806" t="s">
        <v>2636</v>
      </c>
      <c r="C47" s="3105" t="s">
        <v>2485</v>
      </c>
      <c r="D47" s="3106"/>
      <c r="E47" s="3107">
        <v>1</v>
      </c>
      <c r="F47" s="3104" t="s">
        <v>2486</v>
      </c>
      <c r="G47" s="3104"/>
    </row>
    <row r="48" spans="1:7" ht="19.5" customHeight="1">
      <c r="A48" s="3809"/>
      <c r="B48" s="3805"/>
      <c r="C48" s="3105" t="s">
        <v>2487</v>
      </c>
      <c r="D48" s="3106"/>
      <c r="E48" s="3107">
        <v>1</v>
      </c>
      <c r="F48" s="3104" t="s">
        <v>2488</v>
      </c>
      <c r="G48" s="3104"/>
    </row>
    <row r="49" spans="1:7" ht="19.5" customHeight="1">
      <c r="A49" s="3809"/>
      <c r="B49" s="3805"/>
      <c r="C49" s="3105" t="s">
        <v>2489</v>
      </c>
      <c r="D49" s="3106"/>
      <c r="E49" s="3107">
        <v>1</v>
      </c>
      <c r="F49" s="3104" t="s">
        <v>2490</v>
      </c>
      <c r="G49" s="3104"/>
    </row>
    <row r="50" spans="1:7" ht="19.5" customHeight="1">
      <c r="A50" s="3809"/>
      <c r="B50" s="3805"/>
      <c r="C50" s="3105" t="s">
        <v>2491</v>
      </c>
      <c r="D50" s="3106"/>
      <c r="E50" s="3107">
        <v>1</v>
      </c>
      <c r="F50" s="3104" t="s">
        <v>2492</v>
      </c>
      <c r="G50" s="3104"/>
    </row>
    <row r="51" spans="1:7" ht="19.5" customHeight="1">
      <c r="A51" s="3809"/>
      <c r="B51" s="3805"/>
      <c r="C51" s="3105" t="s">
        <v>2493</v>
      </c>
      <c r="D51" s="3106"/>
      <c r="E51" s="3107">
        <v>1</v>
      </c>
      <c r="F51" s="3104" t="s">
        <v>2494</v>
      </c>
      <c r="G51" s="3104"/>
    </row>
    <row r="52" spans="1:7" ht="19.5" customHeight="1">
      <c r="A52" s="3809"/>
      <c r="B52" s="3805"/>
      <c r="C52" s="3105" t="s">
        <v>2495</v>
      </c>
      <c r="D52" s="3106"/>
      <c r="E52" s="3107">
        <v>1</v>
      </c>
      <c r="F52" s="3104" t="s">
        <v>2496</v>
      </c>
      <c r="G52" s="3104"/>
    </row>
    <row r="53" spans="1:7" ht="19.5" customHeight="1" thickBot="1">
      <c r="A53" s="3810"/>
      <c r="B53" s="3807"/>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806" t="s">
        <v>2650</v>
      </c>
      <c r="C75" s="3090" t="s">
        <v>2651</v>
      </c>
      <c r="D75" s="3090" t="s">
        <v>2652</v>
      </c>
      <c r="E75" s="3116">
        <v>0.2</v>
      </c>
      <c r="F75" s="3116">
        <v>25</v>
      </c>
    </row>
    <row r="76" spans="1:7" ht="24">
      <c r="A76" s="3116">
        <v>2</v>
      </c>
      <c r="B76" s="3805"/>
      <c r="C76" s="3090" t="s">
        <v>2653</v>
      </c>
      <c r="D76" s="3090" t="s">
        <v>2654</v>
      </c>
      <c r="E76" s="3116">
        <v>0.2</v>
      </c>
      <c r="F76" s="3116">
        <v>25</v>
      </c>
    </row>
    <row r="77" spans="1:7" ht="24">
      <c r="A77" s="3116">
        <v>3</v>
      </c>
      <c r="B77" s="3805"/>
      <c r="C77" s="3090" t="s">
        <v>2655</v>
      </c>
      <c r="D77" s="3090" t="s">
        <v>2656</v>
      </c>
      <c r="E77" s="3116">
        <v>0.2</v>
      </c>
      <c r="F77" s="3116">
        <v>25</v>
      </c>
    </row>
    <row r="78" spans="1:7" ht="13.5">
      <c r="A78" s="3116">
        <v>4</v>
      </c>
      <c r="B78" s="3805"/>
      <c r="C78" s="3090" t="s">
        <v>2657</v>
      </c>
      <c r="D78" s="3090" t="s">
        <v>2658</v>
      </c>
      <c r="E78" s="3116">
        <v>0.15</v>
      </c>
      <c r="F78" s="3116">
        <v>20</v>
      </c>
    </row>
    <row r="79" spans="1:7" ht="24">
      <c r="A79" s="3116">
        <v>5</v>
      </c>
      <c r="B79" s="3805"/>
      <c r="C79" s="3090" t="s">
        <v>2659</v>
      </c>
      <c r="D79" s="3090" t="s">
        <v>2660</v>
      </c>
      <c r="E79" s="3116">
        <v>0.15</v>
      </c>
      <c r="F79" s="3116">
        <v>20</v>
      </c>
    </row>
    <row r="80" spans="1:7" ht="24">
      <c r="A80" s="3116">
        <v>6</v>
      </c>
      <c r="B80" s="3805"/>
      <c r="C80" s="3090" t="s">
        <v>2661</v>
      </c>
      <c r="D80" s="3090" t="s">
        <v>2662</v>
      </c>
      <c r="E80" s="3116">
        <v>0.15</v>
      </c>
      <c r="F80" s="3116">
        <v>20</v>
      </c>
    </row>
    <row r="81" spans="1:6" ht="24">
      <c r="A81" s="3116">
        <v>7</v>
      </c>
      <c r="B81" s="3805"/>
      <c r="C81" s="3090" t="s">
        <v>2663</v>
      </c>
      <c r="D81" s="3090" t="s">
        <v>2664</v>
      </c>
      <c r="E81" s="3116">
        <v>0.15</v>
      </c>
      <c r="F81" s="3116">
        <v>20</v>
      </c>
    </row>
    <row r="82" spans="1:6" ht="24">
      <c r="A82" s="3116">
        <v>8</v>
      </c>
      <c r="B82" s="3805"/>
      <c r="C82" s="3090" t="s">
        <v>2665</v>
      </c>
      <c r="D82" s="3090" t="s">
        <v>2666</v>
      </c>
      <c r="E82" s="3116">
        <v>0.1</v>
      </c>
      <c r="F82" s="3116">
        <v>15</v>
      </c>
    </row>
    <row r="83" spans="1:6" ht="24">
      <c r="A83" s="3116">
        <v>9</v>
      </c>
      <c r="B83" s="3805"/>
      <c r="C83" s="3090" t="s">
        <v>2667</v>
      </c>
      <c r="D83" s="3090" t="s">
        <v>2668</v>
      </c>
      <c r="E83" s="3116">
        <v>0.1</v>
      </c>
      <c r="F83" s="3116">
        <v>15</v>
      </c>
    </row>
    <row r="84" spans="1:6" ht="24">
      <c r="A84" s="3116">
        <v>10</v>
      </c>
      <c r="B84" s="3805"/>
      <c r="C84" s="3090" t="s">
        <v>2669</v>
      </c>
      <c r="D84" s="3090" t="s">
        <v>2670</v>
      </c>
      <c r="E84" s="3116">
        <v>0.1</v>
      </c>
      <c r="F84" s="3116">
        <v>15</v>
      </c>
    </row>
    <row r="85" spans="1:6" ht="24">
      <c r="A85" s="3116">
        <v>11</v>
      </c>
      <c r="B85" s="3805"/>
      <c r="C85" s="3090" t="s">
        <v>2671</v>
      </c>
      <c r="D85" s="3090" t="s">
        <v>2672</v>
      </c>
      <c r="E85" s="3116">
        <v>0.1</v>
      </c>
      <c r="F85" s="3116">
        <v>15</v>
      </c>
    </row>
    <row r="86" spans="1:6" ht="24">
      <c r="A86" s="3116">
        <v>12</v>
      </c>
      <c r="B86" s="3805"/>
      <c r="C86" s="3090" t="s">
        <v>2673</v>
      </c>
      <c r="D86" s="3090" t="s">
        <v>2674</v>
      </c>
      <c r="E86" s="3116">
        <v>0.1</v>
      </c>
      <c r="F86" s="3116">
        <v>15</v>
      </c>
    </row>
    <row r="87" spans="1:6" ht="13.5">
      <c r="A87" s="3116">
        <v>13</v>
      </c>
      <c r="B87" s="3805"/>
      <c r="C87" s="3090" t="s">
        <v>2675</v>
      </c>
      <c r="D87" s="3090" t="s">
        <v>2676</v>
      </c>
      <c r="E87" s="3116">
        <v>0.1</v>
      </c>
      <c r="F87" s="3116">
        <v>15</v>
      </c>
    </row>
    <row r="88" spans="1:6" ht="13.5">
      <c r="A88" s="3116">
        <v>14</v>
      </c>
      <c r="B88" s="3805"/>
      <c r="C88" s="3090" t="s">
        <v>2677</v>
      </c>
      <c r="D88" s="3090" t="s">
        <v>2678</v>
      </c>
      <c r="E88" s="3116">
        <v>0.1</v>
      </c>
      <c r="F88" s="3116">
        <v>15</v>
      </c>
    </row>
    <row r="89" spans="1:6" ht="13.5">
      <c r="A89" s="3116">
        <v>15</v>
      </c>
      <c r="B89" s="3805"/>
      <c r="C89" s="3090" t="s">
        <v>2679</v>
      </c>
      <c r="D89" s="3090" t="s">
        <v>2680</v>
      </c>
      <c r="E89" s="3116">
        <v>0.1</v>
      </c>
      <c r="F89" s="3116">
        <v>15</v>
      </c>
    </row>
    <row r="90" spans="1:6" ht="24">
      <c r="A90" s="3116">
        <v>16</v>
      </c>
      <c r="B90" s="3805"/>
      <c r="C90" s="3090" t="s">
        <v>2681</v>
      </c>
      <c r="D90" s="3090" t="s">
        <v>2682</v>
      </c>
      <c r="E90" s="3116">
        <v>0.1</v>
      </c>
      <c r="F90" s="3116">
        <v>15</v>
      </c>
    </row>
    <row r="91" spans="1:6" ht="24">
      <c r="A91" s="3116">
        <v>17</v>
      </c>
      <c r="B91" s="3811"/>
      <c r="C91" s="3090" t="s">
        <v>2683</v>
      </c>
      <c r="D91" s="3090" t="s">
        <v>2684</v>
      </c>
      <c r="E91" s="3116">
        <v>0.1</v>
      </c>
      <c r="F91" s="3116">
        <v>15</v>
      </c>
    </row>
    <row r="92" spans="1:6" ht="13.5">
      <c r="A92" s="3116">
        <v>18</v>
      </c>
      <c r="B92" s="3806" t="s">
        <v>2685</v>
      </c>
      <c r="C92" s="3090" t="s">
        <v>2686</v>
      </c>
      <c r="D92" s="3090" t="s">
        <v>2687</v>
      </c>
      <c r="E92" s="3116">
        <v>0.2</v>
      </c>
      <c r="F92" s="3116">
        <v>25</v>
      </c>
    </row>
    <row r="93" spans="1:6" ht="24">
      <c r="A93" s="3116">
        <v>19</v>
      </c>
      <c r="B93" s="3805"/>
      <c r="C93" s="3090" t="s">
        <v>2688</v>
      </c>
      <c r="D93" s="3090" t="s">
        <v>2689</v>
      </c>
      <c r="E93" s="3116">
        <v>0.2</v>
      </c>
      <c r="F93" s="3116">
        <v>25</v>
      </c>
    </row>
    <row r="94" spans="1:6" ht="13.5">
      <c r="A94" s="3116">
        <v>20</v>
      </c>
      <c r="B94" s="3805"/>
      <c r="C94" s="3090" t="s">
        <v>2690</v>
      </c>
      <c r="D94" s="3090" t="s">
        <v>2691</v>
      </c>
      <c r="E94" s="3116">
        <v>0.15</v>
      </c>
      <c r="F94" s="3116">
        <v>20</v>
      </c>
    </row>
    <row r="95" spans="1:6" ht="13.5">
      <c r="A95" s="3116">
        <v>21</v>
      </c>
      <c r="B95" s="3805"/>
      <c r="C95" s="3090" t="s">
        <v>2692</v>
      </c>
      <c r="D95" s="3090" t="s">
        <v>2693</v>
      </c>
      <c r="E95" s="3116">
        <v>0.15</v>
      </c>
      <c r="F95" s="3116">
        <v>20</v>
      </c>
    </row>
    <row r="96" spans="1:6" ht="13.5">
      <c r="A96" s="3116">
        <v>22</v>
      </c>
      <c r="B96" s="3805"/>
      <c r="C96" s="3090" t="s">
        <v>2694</v>
      </c>
      <c r="D96" s="3090" t="s">
        <v>2695</v>
      </c>
      <c r="E96" s="3116">
        <v>0.15</v>
      </c>
      <c r="F96" s="3116">
        <v>20</v>
      </c>
    </row>
    <row r="97" spans="1:6" ht="36">
      <c r="A97" s="3116">
        <v>23</v>
      </c>
      <c r="B97" s="3805"/>
      <c r="C97" s="3090" t="s">
        <v>2696</v>
      </c>
      <c r="D97" s="3090" t="s">
        <v>2697</v>
      </c>
      <c r="E97" s="3116">
        <v>0.15</v>
      </c>
      <c r="F97" s="3116">
        <v>20</v>
      </c>
    </row>
    <row r="98" spans="1:6" ht="13.5">
      <c r="A98" s="3116">
        <v>24</v>
      </c>
      <c r="B98" s="3805"/>
      <c r="C98" s="3090" t="s">
        <v>2698</v>
      </c>
      <c r="D98" s="3090" t="s">
        <v>2699</v>
      </c>
      <c r="E98" s="3116">
        <v>0.1</v>
      </c>
      <c r="F98" s="3116">
        <v>15</v>
      </c>
    </row>
    <row r="99" spans="1:6" ht="13.5">
      <c r="A99" s="3116">
        <v>25</v>
      </c>
      <c r="B99" s="3805"/>
      <c r="C99" s="3090" t="s">
        <v>2700</v>
      </c>
      <c r="D99" s="3090" t="s">
        <v>2701</v>
      </c>
      <c r="E99" s="3116">
        <v>0.1</v>
      </c>
      <c r="F99" s="3116">
        <v>15</v>
      </c>
    </row>
    <row r="100" spans="1:6" ht="24">
      <c r="A100" s="3116">
        <v>26</v>
      </c>
      <c r="B100" s="3805"/>
      <c r="C100" s="3090" t="s">
        <v>2702</v>
      </c>
      <c r="D100" s="3090" t="s">
        <v>2703</v>
      </c>
      <c r="E100" s="3116">
        <v>0.1</v>
      </c>
      <c r="F100" s="3116">
        <v>15</v>
      </c>
    </row>
    <row r="101" spans="1:6" ht="24">
      <c r="A101" s="3116">
        <v>27</v>
      </c>
      <c r="B101" s="3805"/>
      <c r="C101" s="3090" t="s">
        <v>2704</v>
      </c>
      <c r="D101" s="3090" t="s">
        <v>2705</v>
      </c>
      <c r="E101" s="3116">
        <v>0.1</v>
      </c>
      <c r="F101" s="3116">
        <v>15</v>
      </c>
    </row>
    <row r="102" spans="1:6" ht="13.5">
      <c r="A102" s="3116">
        <v>28</v>
      </c>
      <c r="B102" s="3805"/>
      <c r="C102" s="3090" t="s">
        <v>2706</v>
      </c>
      <c r="D102" s="3090" t="s">
        <v>2707</v>
      </c>
      <c r="E102" s="3116">
        <v>0.1</v>
      </c>
      <c r="F102" s="3116">
        <v>15</v>
      </c>
    </row>
    <row r="103" spans="1:6" ht="13.5">
      <c r="A103" s="3116">
        <v>29</v>
      </c>
      <c r="B103" s="3805"/>
      <c r="C103" s="3090" t="s">
        <v>2708</v>
      </c>
      <c r="D103" s="3090" t="s">
        <v>2709</v>
      </c>
      <c r="E103" s="3116">
        <v>0.1</v>
      </c>
      <c r="F103" s="3116">
        <v>15</v>
      </c>
    </row>
    <row r="104" spans="1:6" ht="13.5">
      <c r="A104" s="3116">
        <v>30</v>
      </c>
      <c r="B104" s="3805"/>
      <c r="C104" s="3090" t="s">
        <v>2710</v>
      </c>
      <c r="D104" s="3090" t="s">
        <v>2711</v>
      </c>
      <c r="E104" s="3116">
        <v>0.1</v>
      </c>
      <c r="F104" s="3116">
        <v>15</v>
      </c>
    </row>
    <row r="105" spans="1:6" ht="24">
      <c r="A105" s="3116">
        <v>31</v>
      </c>
      <c r="B105" s="3805"/>
      <c r="C105" s="3090" t="s">
        <v>2712</v>
      </c>
      <c r="D105" s="3090" t="s">
        <v>2713</v>
      </c>
      <c r="E105" s="3116">
        <v>0.1</v>
      </c>
      <c r="F105" s="3116">
        <v>15</v>
      </c>
    </row>
    <row r="106" spans="1:6" ht="24">
      <c r="A106" s="3116">
        <v>32</v>
      </c>
      <c r="B106" s="3805"/>
      <c r="C106" s="3090" t="s">
        <v>2714</v>
      </c>
      <c r="D106" s="3090" t="s">
        <v>2715</v>
      </c>
      <c r="E106" s="3116">
        <v>0.1</v>
      </c>
      <c r="F106" s="3116">
        <v>15</v>
      </c>
    </row>
    <row r="107" spans="1:6" ht="24">
      <c r="A107" s="3116">
        <v>33</v>
      </c>
      <c r="B107" s="3805"/>
      <c r="C107" s="3090" t="s">
        <v>2716</v>
      </c>
      <c r="D107" s="3090" t="s">
        <v>2717</v>
      </c>
      <c r="E107" s="3116">
        <v>0.1</v>
      </c>
      <c r="F107" s="3116">
        <v>15</v>
      </c>
    </row>
    <row r="108" spans="1:6" ht="24">
      <c r="A108" s="3116">
        <v>34</v>
      </c>
      <c r="B108" s="3811"/>
      <c r="C108" s="3090" t="s">
        <v>2718</v>
      </c>
      <c r="D108" s="3090" t="s">
        <v>2719</v>
      </c>
      <c r="E108" s="3116">
        <v>0.1</v>
      </c>
      <c r="F108" s="3116">
        <v>15</v>
      </c>
    </row>
    <row r="109" spans="1:6" ht="24">
      <c r="A109" s="3116">
        <v>35</v>
      </c>
      <c r="B109" s="3806" t="s">
        <v>2720</v>
      </c>
      <c r="C109" s="3116" t="s">
        <v>2721</v>
      </c>
      <c r="D109" s="3090" t="s">
        <v>2722</v>
      </c>
      <c r="E109" s="3116">
        <v>0.15</v>
      </c>
      <c r="F109" s="3116">
        <v>20</v>
      </c>
    </row>
    <row r="110" spans="1:6" ht="13.5">
      <c r="A110" s="3116">
        <v>36</v>
      </c>
      <c r="B110" s="3805"/>
      <c r="C110" s="3116" t="s">
        <v>2723</v>
      </c>
      <c r="D110" s="3090" t="s">
        <v>2724</v>
      </c>
      <c r="E110" s="3116">
        <v>0.15</v>
      </c>
      <c r="F110" s="3116">
        <v>20</v>
      </c>
    </row>
    <row r="111" spans="1:6" ht="13.5">
      <c r="A111" s="3116">
        <v>37</v>
      </c>
      <c r="B111" s="3805"/>
      <c r="C111" s="3116" t="s">
        <v>2725</v>
      </c>
      <c r="D111" s="3090" t="s">
        <v>2726</v>
      </c>
      <c r="E111" s="3116">
        <v>0.15</v>
      </c>
      <c r="F111" s="3116">
        <v>20</v>
      </c>
    </row>
    <row r="112" spans="1:6" ht="13.5">
      <c r="A112" s="3116">
        <v>38</v>
      </c>
      <c r="B112" s="3805"/>
      <c r="C112" s="3116" t="s">
        <v>2727</v>
      </c>
      <c r="D112" s="3090" t="s">
        <v>2728</v>
      </c>
      <c r="E112" s="3116">
        <v>0.1</v>
      </c>
      <c r="F112" s="3116">
        <v>15</v>
      </c>
    </row>
    <row r="113" spans="1:6" ht="24">
      <c r="A113" s="3116">
        <v>39</v>
      </c>
      <c r="B113" s="3805"/>
      <c r="C113" s="3116" t="s">
        <v>2729</v>
      </c>
      <c r="D113" s="3090" t="s">
        <v>2730</v>
      </c>
      <c r="E113" s="3116">
        <v>0.1</v>
      </c>
      <c r="F113" s="3116">
        <v>15</v>
      </c>
    </row>
    <row r="114" spans="1:6" ht="24">
      <c r="A114" s="3116">
        <v>40</v>
      </c>
      <c r="B114" s="3811"/>
      <c r="C114" s="3116" t="s">
        <v>2731</v>
      </c>
      <c r="D114" s="3090" t="s">
        <v>2732</v>
      </c>
      <c r="E114" s="3116">
        <v>0.1</v>
      </c>
      <c r="F114" s="3116">
        <v>15</v>
      </c>
    </row>
    <row r="115" spans="1:6" ht="13.5">
      <c r="A115" s="3116">
        <v>41</v>
      </c>
      <c r="B115" s="3799" t="s">
        <v>2733</v>
      </c>
      <c r="C115" s="3116" t="s">
        <v>2734</v>
      </c>
      <c r="D115" s="3090" t="s">
        <v>2735</v>
      </c>
      <c r="E115" s="3116">
        <v>0.1</v>
      </c>
      <c r="F115" s="3116">
        <v>15</v>
      </c>
    </row>
    <row r="116" spans="1:6" ht="13.5">
      <c r="A116" s="3116">
        <v>42</v>
      </c>
      <c r="B116" s="3799"/>
      <c r="C116" s="3116" t="s">
        <v>2736</v>
      </c>
      <c r="D116" s="3090" t="s">
        <v>2737</v>
      </c>
      <c r="E116" s="3116">
        <v>0.1</v>
      </c>
      <c r="F116" s="3116">
        <v>15</v>
      </c>
    </row>
    <row r="117" spans="1:6" ht="24">
      <c r="A117" s="3116">
        <v>43</v>
      </c>
      <c r="B117" s="3799"/>
      <c r="C117" s="3116" t="s">
        <v>2738</v>
      </c>
      <c r="D117" s="3090" t="s">
        <v>2739</v>
      </c>
      <c r="E117" s="3116">
        <v>0.1</v>
      </c>
      <c r="F117" s="3116">
        <v>15</v>
      </c>
    </row>
    <row r="118" spans="1:6" ht="13.5">
      <c r="A118" s="3116">
        <v>44</v>
      </c>
      <c r="B118" s="3806" t="s">
        <v>2740</v>
      </c>
      <c r="C118" s="3116" t="s">
        <v>2741</v>
      </c>
      <c r="D118" s="3090" t="s">
        <v>2742</v>
      </c>
      <c r="E118" s="3116">
        <v>0.1</v>
      </c>
      <c r="F118" s="3116">
        <v>15</v>
      </c>
    </row>
    <row r="119" spans="1:6" ht="24">
      <c r="A119" s="3116">
        <v>45</v>
      </c>
      <c r="B119" s="3811"/>
      <c r="C119" s="3090" t="s">
        <v>2743</v>
      </c>
      <c r="D119" s="3090" t="s">
        <v>2744</v>
      </c>
      <c r="E119" s="3116">
        <v>0.1</v>
      </c>
      <c r="F119" s="3116">
        <v>15</v>
      </c>
    </row>
    <row r="120" spans="1:6" ht="24">
      <c r="A120" s="3116">
        <v>46</v>
      </c>
      <c r="B120" s="3806" t="s">
        <v>2745</v>
      </c>
      <c r="C120" s="3116" t="s">
        <v>2746</v>
      </c>
      <c r="D120" s="3090" t="s">
        <v>2747</v>
      </c>
      <c r="E120" s="3116">
        <v>0.1</v>
      </c>
      <c r="F120" s="3116">
        <v>15</v>
      </c>
    </row>
    <row r="121" spans="1:6" ht="24">
      <c r="A121" s="3116">
        <v>47</v>
      </c>
      <c r="B121" s="3811"/>
      <c r="C121" s="3116" t="s">
        <v>2748</v>
      </c>
      <c r="D121" s="3090" t="s">
        <v>2749</v>
      </c>
      <c r="E121" s="3116">
        <v>0.1</v>
      </c>
      <c r="F121" s="3116">
        <v>15</v>
      </c>
    </row>
    <row r="122" spans="1:6" ht="13.5">
      <c r="A122" s="3116">
        <v>48</v>
      </c>
      <c r="B122" s="3806" t="s">
        <v>2750</v>
      </c>
      <c r="C122" s="3116" t="s">
        <v>2751</v>
      </c>
      <c r="D122" s="3090" t="s">
        <v>2752</v>
      </c>
      <c r="E122" s="3116">
        <v>0.1</v>
      </c>
      <c r="F122" s="3116">
        <v>15</v>
      </c>
    </row>
    <row r="123" spans="1:6" ht="13.5">
      <c r="A123" s="3116">
        <v>49</v>
      </c>
      <c r="B123" s="3811"/>
      <c r="C123" s="3116" t="s">
        <v>2753</v>
      </c>
      <c r="D123" s="3090" t="s">
        <v>2754</v>
      </c>
      <c r="E123" s="3116">
        <v>0.1</v>
      </c>
      <c r="F123" s="3116">
        <v>15</v>
      </c>
    </row>
    <row r="124" spans="1:6" ht="24">
      <c r="A124" s="3116">
        <v>50</v>
      </c>
      <c r="B124" s="3799" t="s">
        <v>2755</v>
      </c>
      <c r="C124" s="3116" t="s">
        <v>2756</v>
      </c>
      <c r="D124" s="3090" t="s">
        <v>2757</v>
      </c>
      <c r="E124" s="3116">
        <v>0.1</v>
      </c>
      <c r="F124" s="3116">
        <v>15</v>
      </c>
    </row>
    <row r="125" spans="1:6" ht="24">
      <c r="A125" s="3116">
        <v>51</v>
      </c>
      <c r="B125" s="3799"/>
      <c r="C125" s="3116" t="s">
        <v>2758</v>
      </c>
      <c r="D125" s="3090" t="s">
        <v>2759</v>
      </c>
      <c r="E125" s="3116">
        <v>0.1</v>
      </c>
      <c r="F125" s="3116">
        <v>15</v>
      </c>
    </row>
    <row r="126" spans="1:6" ht="24">
      <c r="A126" s="3116">
        <v>52</v>
      </c>
      <c r="B126" s="3799" t="s">
        <v>2760</v>
      </c>
      <c r="C126" s="3116" t="s">
        <v>2761</v>
      </c>
      <c r="D126" s="3090" t="s">
        <v>2762</v>
      </c>
      <c r="E126" s="3116">
        <v>0.1</v>
      </c>
      <c r="F126" s="3116">
        <v>15</v>
      </c>
    </row>
    <row r="127" spans="1:6" ht="24">
      <c r="A127" s="3116">
        <v>53</v>
      </c>
      <c r="B127" s="3799"/>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799" t="s">
        <v>2768</v>
      </c>
      <c r="C129" s="3116" t="s">
        <v>2769</v>
      </c>
      <c r="D129" s="3090" t="s">
        <v>2770</v>
      </c>
      <c r="E129" s="3116">
        <v>0.1</v>
      </c>
      <c r="F129" s="3116">
        <v>15</v>
      </c>
    </row>
    <row r="130" spans="1:6" ht="13.5">
      <c r="A130" s="3116">
        <v>56</v>
      </c>
      <c r="B130" s="3799"/>
      <c r="C130" s="3116" t="s">
        <v>2771</v>
      </c>
      <c r="D130" s="3090" t="s">
        <v>2772</v>
      </c>
      <c r="E130" s="3116">
        <v>0.1</v>
      </c>
      <c r="F130" s="3116">
        <v>15</v>
      </c>
    </row>
    <row r="131" spans="1:6" ht="24">
      <c r="A131" s="3116">
        <v>57</v>
      </c>
      <c r="B131" s="3799"/>
      <c r="C131" s="3116" t="s">
        <v>2773</v>
      </c>
      <c r="D131" s="3090" t="s">
        <v>2774</v>
      </c>
      <c r="E131" s="3116">
        <v>0.1</v>
      </c>
      <c r="F131" s="3116">
        <v>15</v>
      </c>
    </row>
    <row r="132" spans="1:6" ht="24">
      <c r="A132" s="3116">
        <v>58</v>
      </c>
      <c r="B132" s="3799" t="s">
        <v>2775</v>
      </c>
      <c r="C132" s="3116" t="s">
        <v>2776</v>
      </c>
      <c r="D132" s="3090" t="s">
        <v>2777</v>
      </c>
      <c r="E132" s="3116">
        <v>0.1</v>
      </c>
      <c r="F132" s="3116">
        <v>15</v>
      </c>
    </row>
    <row r="133" spans="1:6" ht="13.5">
      <c r="A133" s="3116">
        <v>59</v>
      </c>
      <c r="B133" s="3799"/>
      <c r="C133" s="3116" t="s">
        <v>2778</v>
      </c>
      <c r="D133" s="3090" t="s">
        <v>2779</v>
      </c>
      <c r="E133" s="3116">
        <v>0.1</v>
      </c>
      <c r="F133" s="3116">
        <v>15</v>
      </c>
    </row>
    <row r="134" spans="1:6" ht="13.5">
      <c r="A134" s="3116">
        <v>60</v>
      </c>
      <c r="B134" s="3806" t="s">
        <v>2780</v>
      </c>
      <c r="C134" s="3116" t="s">
        <v>2781</v>
      </c>
      <c r="D134" s="3090" t="s">
        <v>2782</v>
      </c>
      <c r="E134" s="3116">
        <v>0.1</v>
      </c>
      <c r="F134" s="3116">
        <v>15</v>
      </c>
    </row>
    <row r="135" spans="1:6" ht="13.5">
      <c r="A135" s="3116">
        <v>61</v>
      </c>
      <c r="B135" s="3811"/>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799" t="s">
        <v>2788</v>
      </c>
      <c r="C137" s="3116" t="s">
        <v>2789</v>
      </c>
      <c r="D137" s="3090" t="s">
        <v>2790</v>
      </c>
      <c r="E137" s="3116">
        <v>0.1</v>
      </c>
      <c r="F137" s="3116">
        <v>15</v>
      </c>
    </row>
    <row r="138" spans="1:6" ht="13.5">
      <c r="A138" s="3116">
        <v>64</v>
      </c>
      <c r="B138" s="3799"/>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27913</v>
      </c>
      <c r="C2" s="2" t="s">
        <v>106</v>
      </c>
      <c r="D2" s="199"/>
      <c r="E2" s="199"/>
      <c r="F2" s="199"/>
      <c r="G2" s="199"/>
    </row>
    <row r="3" spans="1:7" s="200" customFormat="1" ht="18" customHeight="1" thickBot="1">
      <c r="A3" s="203" t="s">
        <v>58</v>
      </c>
      <c r="B3" s="204">
        <f ca="1">ROUND(B2*10000/'数据-汇总表'!E3,0)</f>
        <v>2556370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109.19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109.19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109.19</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71" t="s">
        <v>94</v>
      </c>
    </row>
    <row r="43" spans="1:7" ht="13.5" customHeight="1">
      <c r="A43" s="779" t="s">
        <v>347</v>
      </c>
      <c r="B43" s="215" t="s">
        <v>426</v>
      </c>
      <c r="C43" s="238">
        <f ca="1">ROUND(IF('数据-取费表'!B22&lt;=1,C39*F22*'数据-取费表'!B21/2,C39*(POWER((1+F22),'数据-取费表'!B21/2)-1)),0)</f>
        <v>0</v>
      </c>
      <c r="D43" s="238"/>
      <c r="E43" s="238"/>
      <c r="F43" s="239"/>
      <c r="G43" s="3672"/>
    </row>
    <row r="44" spans="1:7" ht="13.5" customHeight="1">
      <c r="A44" s="779"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52</v>
      </c>
      <c r="D51" s="232"/>
      <c r="E51" s="232"/>
      <c r="F51" s="264"/>
      <c r="G51" s="234" t="s">
        <v>37</v>
      </c>
    </row>
    <row r="52" spans="1:7" s="208" customFormat="1" ht="16.5" thickBot="1">
      <c r="A52" s="265" t="s">
        <v>38</v>
      </c>
      <c r="B52" s="266"/>
      <c r="C52" s="267">
        <f ca="1">C31+C51</f>
        <v>27913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49">
        <f ca="1">结果表!H101</f>
        <v>137</v>
      </c>
      <c r="E5" s="1490"/>
    </row>
    <row r="6" spans="1:5" ht="15.75">
      <c r="A6" s="1490"/>
      <c r="B6" s="3490"/>
      <c r="C6" s="1493" t="s">
        <v>911</v>
      </c>
      <c r="D6" s="849" t="str">
        <f ca="1">NUMBERSTRING(INT(D5*10000),2)&amp;"元整"</f>
        <v>壹佰叁拾柒万元整</v>
      </c>
      <c r="E6" s="1490"/>
    </row>
    <row r="7" spans="1:5" ht="15.75">
      <c r="A7" s="1490"/>
      <c r="B7" s="3495"/>
      <c r="C7" s="1494" t="s">
        <v>912</v>
      </c>
      <c r="D7" s="850">
        <f ca="1">结果表!H102</f>
        <v>12526</v>
      </c>
      <c r="E7" s="1490"/>
    </row>
    <row r="8" spans="1:5" ht="15.75">
      <c r="A8" s="1490"/>
      <c r="B8" s="3496" t="str">
        <f>结果表!E103</f>
        <v>2.估价师知悉的法定优先受偿款</v>
      </c>
      <c r="C8" s="1495" t="s">
        <v>913</v>
      </c>
      <c r="D8" s="850">
        <f>结果表!H103</f>
        <v>0</v>
      </c>
      <c r="E8" s="1490"/>
    </row>
    <row r="9" spans="1:5" ht="15.75">
      <c r="A9" s="1490"/>
      <c r="B9" s="349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9" t="str">
        <f>结果表!E107</f>
        <v>3.房地产抵押价值</v>
      </c>
      <c r="C13" s="1498" t="s">
        <v>910</v>
      </c>
      <c r="D13" s="852">
        <f ca="1">结果表!H107</f>
        <v>137</v>
      </c>
      <c r="E13" s="1490"/>
    </row>
    <row r="14" spans="1:5" ht="15.75">
      <c r="A14" s="1490"/>
      <c r="B14" s="3490"/>
      <c r="C14" s="1493" t="s">
        <v>911</v>
      </c>
      <c r="D14" s="849" t="str">
        <f ca="1">NUMBERSTRING(INT(D13*10000),2)&amp;"元整"</f>
        <v>壹佰叁拾柒万元整</v>
      </c>
      <c r="E14" s="1490"/>
    </row>
    <row r="15" spans="1:5" ht="15">
      <c r="A15" s="1490"/>
      <c r="B15" s="3495"/>
      <c r="C15" s="1494" t="s">
        <v>921</v>
      </c>
      <c r="D15" s="858">
        <f ca="1">结果表!H108</f>
        <v>12526</v>
      </c>
      <c r="E15" s="1490"/>
    </row>
    <row r="16" spans="1:5" ht="15">
      <c r="A16" s="1490"/>
      <c r="B16" s="3496" t="str">
        <f>结果表!E109</f>
        <v>——</v>
      </c>
      <c r="C16" s="1498" t="s">
        <v>922</v>
      </c>
      <c r="D16" s="1499" t="str">
        <f>结果表!H109</f>
        <v>——</v>
      </c>
      <c r="E16" s="1490"/>
    </row>
    <row r="17" spans="1:5" ht="15.75">
      <c r="A17" s="1490"/>
      <c r="B17" s="3497"/>
      <c r="C17" s="1493" t="s">
        <v>923</v>
      </c>
      <c r="D17" s="849" t="e">
        <f>NUMBERSTRING(INT(D16*10000),2)&amp;"元整"</f>
        <v>#VALUE!</v>
      </c>
      <c r="E17" s="1490"/>
    </row>
    <row r="18" spans="1:5" ht="15">
      <c r="A18" s="1490"/>
      <c r="B18" s="3498"/>
      <c r="C18" s="1494" t="s">
        <v>912</v>
      </c>
      <c r="D18" s="858" t="str">
        <f>结果表!H110</f>
        <v>——</v>
      </c>
      <c r="E18" s="1490"/>
    </row>
    <row r="19" spans="1:5" ht="15.75">
      <c r="A19" s="1490"/>
      <c r="B19" s="3489" t="str">
        <f>结果表!E111</f>
        <v>——</v>
      </c>
      <c r="C19" s="1498" t="s">
        <v>910</v>
      </c>
      <c r="D19" s="850" t="str">
        <f>结果表!H111</f>
        <v>——</v>
      </c>
      <c r="E19" s="1490"/>
    </row>
    <row r="20" spans="1:5" ht="15.75">
      <c r="A20" s="1490"/>
      <c r="B20" s="3490"/>
      <c r="C20" s="1493" t="s">
        <v>923</v>
      </c>
      <c r="D20" s="849" t="e">
        <f>NUMBERSTRING(INT(D19*10000),2)&amp;"元整"</f>
        <v>#VALUE!</v>
      </c>
      <c r="E20" s="1490"/>
    </row>
    <row r="21" spans="1:5" ht="15.75" thickBot="1">
      <c r="A21" s="1490"/>
      <c r="B21" s="349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3180</v>
      </c>
      <c r="B1" s="3812"/>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3231</v>
      </c>
      <c r="B1" s="3813"/>
      <c r="C1" s="3813"/>
      <c r="D1" s="3813"/>
      <c r="E1" s="3813"/>
      <c r="F1" s="3814"/>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45950</v>
      </c>
      <c r="B1" s="3208" t="s">
        <v>3375</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2818</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3413</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4" t="s">
        <v>3414</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4"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4"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15" t="s">
        <v>2826</v>
      </c>
      <c r="S29" s="3816"/>
      <c r="T29" s="3816"/>
      <c r="U29" s="3816"/>
      <c r="V29" s="3816"/>
      <c r="W29" s="3816"/>
      <c r="X29" s="3163"/>
      <c r="Y29" s="3815" t="s">
        <v>2827</v>
      </c>
      <c r="Z29" s="3816"/>
      <c r="AA29" s="3816"/>
      <c r="AB29" s="3816"/>
      <c r="AC29" s="3816"/>
      <c r="AD29" s="3816"/>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3401</v>
      </c>
      <c r="AJ30"/>
      <c r="AK30" t="s">
        <v>3402</v>
      </c>
      <c r="AN30" t="s">
        <v>673</v>
      </c>
      <c r="AO30" t="s">
        <v>21</v>
      </c>
      <c r="AP30" t="s">
        <v>3401</v>
      </c>
      <c r="AQ30"/>
      <c r="AR30" t="s">
        <v>3402</v>
      </c>
    </row>
    <row r="31" spans="1:44" s="3159" customFormat="1" ht="12.75">
      <c r="A31" s="3147" t="s">
        <v>2833</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3415</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4" t="s">
        <v>3414</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4"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4"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0" t="s">
        <v>2838</v>
      </c>
      <c r="B1" s="3830"/>
      <c r="C1" s="3830"/>
      <c r="D1" s="3830"/>
      <c r="E1" s="3830"/>
      <c r="F1" s="3830"/>
      <c r="G1" s="3831"/>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28"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29"/>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66" sqref="M6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66" sqref="R6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3" sqref="Q1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3" t="s">
        <v>925</v>
      </c>
      <c r="E3" s="853" t="s">
        <v>931</v>
      </c>
      <c r="F3" s="853" t="s">
        <v>925</v>
      </c>
      <c r="G3" s="853" t="s">
        <v>926</v>
      </c>
      <c r="H3" s="853" t="s">
        <v>925</v>
      </c>
      <c r="I3" s="853" t="s">
        <v>926</v>
      </c>
    </row>
    <row r="4" spans="1:9" ht="30">
      <c r="A4" s="1504" t="str">
        <f>项目基本情况!S2</f>
        <v>北京市通州区兴贸三街19号院1号楼4层507办公用房房地产</v>
      </c>
      <c r="B4" s="853">
        <f>项目基本情况!C17</f>
        <v>109.19</v>
      </c>
      <c r="C4" s="853">
        <f>项目基本情况!C18</f>
        <v>0</v>
      </c>
      <c r="D4" s="853">
        <f ca="1">结果表!D118</f>
        <v>61</v>
      </c>
      <c r="E4" s="853">
        <f ca="1">结果表!E118</f>
        <v>5624</v>
      </c>
      <c r="F4" s="853">
        <f ca="1">结果表!F118</f>
        <v>75</v>
      </c>
      <c r="G4" s="853">
        <f ca="1">结果表!G118</f>
        <v>6902</v>
      </c>
      <c r="H4" s="853">
        <f ca="1">结果表!H118</f>
        <v>137</v>
      </c>
      <c r="I4" s="853">
        <f ca="1">结果表!I118</f>
        <v>12526</v>
      </c>
    </row>
    <row r="5" spans="1:9" ht="30" customHeight="1">
      <c r="A5" s="3501" t="s">
        <v>927</v>
      </c>
      <c r="B5" s="3501"/>
      <c r="C5" s="3501"/>
      <c r="D5" s="3501" t="str">
        <f ca="1">结果表!D119</f>
        <v>陆拾壹万元整</v>
      </c>
      <c r="E5" s="3501"/>
      <c r="F5" s="3501" t="str">
        <f ca="1">结果表!F119</f>
        <v>柒拾伍万元整</v>
      </c>
      <c r="G5" s="3501"/>
      <c r="H5" s="3501" t="str">
        <f ca="1">结果表!H119</f>
        <v>壹佰叁拾柒万元整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137</v>
      </c>
      <c r="E8" s="3502"/>
      <c r="F8" s="3502"/>
      <c r="G8" s="3502"/>
      <c r="H8" s="3502"/>
      <c r="I8" s="3502"/>
    </row>
    <row r="9" spans="1:9" ht="15">
      <c r="A9" s="3501" t="s">
        <v>927</v>
      </c>
      <c r="B9" s="3501"/>
      <c r="C9" s="3501"/>
      <c r="D9" s="3501" t="str">
        <f ca="1">结果表!D123</f>
        <v>壹佰叁拾柒万元整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2"/>
      <c r="E18" s="3527" t="s">
        <v>2161</v>
      </c>
      <c r="F18" s="3526"/>
      <c r="G18" s="352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2025-10-27T03:03:24Z</dcterms:modified>
</cp:coreProperties>
</file>