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综合组\历年报告\2022\"/>
    </mc:Choice>
  </mc:AlternateContent>
  <bookViews>
    <workbookView xWindow="0" yWindow="0" windowWidth="20490" windowHeight="7290" tabRatio="875" firstSheet="17"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住宅" sheetId="70" r:id="rId22"/>
    <sheet name="基准地价商业" sheetId="69" r:id="rId23"/>
    <sheet name="基准地价办公"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r:id="rId30"/>
    <sheet name="收益还原法" sheetId="44" r:id="rId31"/>
    <sheet name="不动产收益法" sheetId="15" r:id="rId32"/>
    <sheet name="不动产收益法-酒店模型" sheetId="68" r:id="rId33"/>
    <sheet name="酒店收入计算" sheetId="57" r:id="rId34"/>
    <sheet name="成本逼近法" sheetId="11" r:id="rId35"/>
    <sheet name="不动产比较法-住宅" sheetId="21" r:id="rId36"/>
    <sheet name="不动产比较法-商业" sheetId="33" r:id="rId37"/>
    <sheet name="不动产比较法-办公" sheetId="34" r:id="rId38"/>
    <sheet name="不动产比较法-工业" sheetId="37" r:id="rId39"/>
    <sheet name="不动产比较法-车位" sheetId="35" r:id="rId40"/>
    <sheet name="不动产比较法-仓储" sheetId="36" r:id="rId41"/>
    <sheet name="典型户型修正" sheetId="31" r:id="rId42"/>
    <sheet name="存贷款利率" sheetId="65"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9">'基准地价（汇总）'!$A$1:$F$14</definedName>
    <definedName name="_xlnm.Print_Area" localSheetId="23">基准地价办公!$A$1:$J$41,基准地价办公!$A$44:$N$87,基准地价办公!$R$1:$V$16</definedName>
    <definedName name="_xlnm.Print_Area" localSheetId="22">基准地价商业!$A$1:$J$41,基准地价商业!$A$44:$N$87,基准地价商业!$R$1:$V$16</definedName>
    <definedName name="_xlnm.Print_Area" localSheetId="21">基准地价住宅!$A$1:$J$41,基准地价住宅!$A$44:$N$87,基准地价住宅!$R$1:$V$16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基准地价商业!$N$19:$AB$19</definedName>
    <definedName name="季度" localSheetId="21">基准地价住宅!$N$19:$AB$19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113" i="70" l="1"/>
  <c r="B113" i="70"/>
  <c r="K108" i="70"/>
  <c r="G108" i="70"/>
  <c r="C108" i="70"/>
  <c r="G101" i="70"/>
  <c r="G106" i="70" s="1"/>
  <c r="K100" i="70"/>
  <c r="G100" i="70"/>
  <c r="D100" i="70"/>
  <c r="N99" i="70"/>
  <c r="M99" i="70"/>
  <c r="M108" i="70" s="1"/>
  <c r="L99" i="70"/>
  <c r="K99" i="70"/>
  <c r="J99" i="70"/>
  <c r="I99" i="70"/>
  <c r="I108" i="70" s="1"/>
  <c r="H99" i="70"/>
  <c r="G99" i="70"/>
  <c r="F99" i="70"/>
  <c r="E99" i="70"/>
  <c r="E108" i="70" s="1"/>
  <c r="D99" i="70"/>
  <c r="D108" i="70" s="1"/>
  <c r="C99" i="70"/>
  <c r="C100" i="70" s="1"/>
  <c r="N87" i="70"/>
  <c r="M87" i="70"/>
  <c r="K87" i="70"/>
  <c r="J87" i="70" s="1"/>
  <c r="D87" i="70"/>
  <c r="B87" i="70"/>
  <c r="M86" i="70"/>
  <c r="N86" i="70" s="1"/>
  <c r="K86" i="70"/>
  <c r="J86" i="70"/>
  <c r="D86" i="70"/>
  <c r="M85" i="70"/>
  <c r="N85" i="70" s="1"/>
  <c r="K85" i="70"/>
  <c r="J85" i="70"/>
  <c r="D85" i="70"/>
  <c r="B85" i="70"/>
  <c r="N84" i="70"/>
  <c r="M84" i="70"/>
  <c r="K84" i="70"/>
  <c r="J84" i="70" s="1"/>
  <c r="D84" i="70"/>
  <c r="B84" i="70"/>
  <c r="M83" i="70"/>
  <c r="N83" i="70" s="1"/>
  <c r="K83" i="70"/>
  <c r="J83" i="70"/>
  <c r="D83" i="70"/>
  <c r="B83" i="70"/>
  <c r="N82" i="70"/>
  <c r="M82" i="70"/>
  <c r="K82" i="70"/>
  <c r="J82" i="70" s="1"/>
  <c r="D82" i="70"/>
  <c r="B82" i="70"/>
  <c r="M81" i="70"/>
  <c r="N81" i="70" s="1"/>
  <c r="K81" i="70"/>
  <c r="J81" i="70"/>
  <c r="D81" i="70"/>
  <c r="E80" i="70" s="1"/>
  <c r="B78" i="70" s="1"/>
  <c r="B81" i="70"/>
  <c r="N80" i="70"/>
  <c r="M80" i="70"/>
  <c r="K80" i="70"/>
  <c r="J80" i="70" s="1"/>
  <c r="H80" i="70"/>
  <c r="F80" i="70"/>
  <c r="H86" i="70" s="1"/>
  <c r="D80" i="70"/>
  <c r="B80" i="70"/>
  <c r="N77" i="70"/>
  <c r="M77" i="70"/>
  <c r="K77" i="70"/>
  <c r="J77" i="70" s="1"/>
  <c r="D77" i="70"/>
  <c r="N76" i="70"/>
  <c r="M76" i="70"/>
  <c r="K76" i="70"/>
  <c r="J76" i="70" s="1"/>
  <c r="D76" i="70"/>
  <c r="B76" i="70"/>
  <c r="M75" i="70"/>
  <c r="N75" i="70" s="1"/>
  <c r="K75" i="70"/>
  <c r="J75" i="70"/>
  <c r="D75" i="70"/>
  <c r="M74" i="70"/>
  <c r="N74" i="70" s="1"/>
  <c r="K74" i="70"/>
  <c r="J74" i="70"/>
  <c r="D74" i="70"/>
  <c r="B74" i="70"/>
  <c r="N73" i="70"/>
  <c r="M73" i="70"/>
  <c r="K73" i="70"/>
  <c r="J73" i="70" s="1"/>
  <c r="D73" i="70"/>
  <c r="B73" i="70"/>
  <c r="M72" i="70"/>
  <c r="N72" i="70" s="1"/>
  <c r="K72" i="70"/>
  <c r="J72" i="70"/>
  <c r="D72" i="70"/>
  <c r="B72" i="70"/>
  <c r="N71" i="70"/>
  <c r="M71" i="70"/>
  <c r="K71" i="70"/>
  <c r="J71" i="70" s="1"/>
  <c r="D71" i="70"/>
  <c r="B71" i="70"/>
  <c r="M70" i="70"/>
  <c r="N70" i="70" s="1"/>
  <c r="K70" i="70"/>
  <c r="J70" i="70"/>
  <c r="D70" i="70"/>
  <c r="E69" i="70" s="1"/>
  <c r="B67" i="70" s="1"/>
  <c r="B70" i="70"/>
  <c r="N69" i="70"/>
  <c r="M69" i="70"/>
  <c r="K69" i="70"/>
  <c r="J69" i="70" s="1"/>
  <c r="D69" i="70"/>
  <c r="B69" i="70"/>
  <c r="N66" i="70"/>
  <c r="M66" i="70"/>
  <c r="K66" i="70"/>
  <c r="J66" i="70" s="1"/>
  <c r="H66" i="70"/>
  <c r="D66" i="70"/>
  <c r="B66" i="70"/>
  <c r="M65" i="70"/>
  <c r="N65" i="70" s="1"/>
  <c r="K65" i="70"/>
  <c r="J65" i="70"/>
  <c r="D65" i="70"/>
  <c r="B65" i="70"/>
  <c r="N64" i="70"/>
  <c r="M64" i="70"/>
  <c r="K64" i="70"/>
  <c r="J64" i="70" s="1"/>
  <c r="D64" i="70"/>
  <c r="B64" i="70"/>
  <c r="M63" i="70"/>
  <c r="N63" i="70" s="1"/>
  <c r="K63" i="70"/>
  <c r="J63" i="70"/>
  <c r="D63" i="70"/>
  <c r="M62" i="70"/>
  <c r="N62" i="70" s="1"/>
  <c r="K62" i="70"/>
  <c r="J62" i="70"/>
  <c r="D62" i="70"/>
  <c r="B62" i="70"/>
  <c r="N61" i="70"/>
  <c r="M61" i="70"/>
  <c r="K61" i="70"/>
  <c r="J61" i="70" s="1"/>
  <c r="D61" i="70"/>
  <c r="N60" i="70"/>
  <c r="M60" i="70"/>
  <c r="K60" i="70"/>
  <c r="J60" i="70" s="1"/>
  <c r="D60" i="70"/>
  <c r="B60" i="70"/>
  <c r="M59" i="70"/>
  <c r="N59" i="70" s="1"/>
  <c r="K59" i="70"/>
  <c r="J59" i="70"/>
  <c r="D59" i="70"/>
  <c r="E58" i="70" s="1"/>
  <c r="B56" i="70" s="1"/>
  <c r="B59" i="70"/>
  <c r="N58" i="70"/>
  <c r="M58" i="70"/>
  <c r="K58" i="70"/>
  <c r="J58" i="70" s="1"/>
  <c r="H58" i="70"/>
  <c r="F58" i="70"/>
  <c r="H65" i="70" s="1"/>
  <c r="D58" i="70"/>
  <c r="B58" i="70"/>
  <c r="N55" i="70"/>
  <c r="M55" i="70"/>
  <c r="K55" i="70"/>
  <c r="J55" i="70" s="1"/>
  <c r="D55" i="70"/>
  <c r="B55" i="70"/>
  <c r="M54" i="70"/>
  <c r="N54" i="70" s="1"/>
  <c r="K54" i="70"/>
  <c r="J54" i="70"/>
  <c r="D54" i="70"/>
  <c r="B54" i="70"/>
  <c r="N53" i="70"/>
  <c r="M53" i="70"/>
  <c r="K53" i="70"/>
  <c r="J53" i="70" s="1"/>
  <c r="D53" i="70"/>
  <c r="B53" i="70"/>
  <c r="M52" i="70"/>
  <c r="N52" i="70" s="1"/>
  <c r="K52" i="70"/>
  <c r="J52" i="70"/>
  <c r="D52" i="70"/>
  <c r="M51" i="70"/>
  <c r="N51" i="70" s="1"/>
  <c r="K51" i="70"/>
  <c r="J51" i="70"/>
  <c r="D51" i="70"/>
  <c r="B51" i="70"/>
  <c r="N50" i="70"/>
  <c r="M50" i="70"/>
  <c r="K50" i="70"/>
  <c r="J50" i="70" s="1"/>
  <c r="D50" i="70"/>
  <c r="N49" i="70"/>
  <c r="M49" i="70"/>
  <c r="K49" i="70"/>
  <c r="J49" i="70" s="1"/>
  <c r="D49" i="70"/>
  <c r="B49" i="70"/>
  <c r="M48" i="70"/>
  <c r="N48" i="70" s="1"/>
  <c r="K48" i="70"/>
  <c r="J48" i="70"/>
  <c r="D48" i="70"/>
  <c r="E47" i="70" s="1"/>
  <c r="B45" i="70" s="1"/>
  <c r="B48" i="70"/>
  <c r="N47" i="70"/>
  <c r="M47" i="70"/>
  <c r="K47" i="70"/>
  <c r="J47" i="70" s="1"/>
  <c r="F47" i="70"/>
  <c r="H54" i="70" s="1"/>
  <c r="D47" i="70"/>
  <c r="B47" i="70"/>
  <c r="H39" i="70"/>
  <c r="H38" i="70"/>
  <c r="H37" i="70"/>
  <c r="H36" i="70"/>
  <c r="H35" i="70"/>
  <c r="H34" i="70"/>
  <c r="H33" i="70"/>
  <c r="P25" i="70"/>
  <c r="C24" i="70"/>
  <c r="G22" i="70"/>
  <c r="P21" i="70"/>
  <c r="M20" i="70"/>
  <c r="J20" i="70"/>
  <c r="O19" i="70"/>
  <c r="M19" i="70"/>
  <c r="I19" i="70"/>
  <c r="G19" i="70"/>
  <c r="P24" i="70" s="1"/>
  <c r="C19" i="70"/>
  <c r="C18" i="70"/>
  <c r="F15" i="70"/>
  <c r="E15" i="70"/>
  <c r="D15" i="70"/>
  <c r="C15" i="70"/>
  <c r="AI12" i="70"/>
  <c r="AG12" i="70"/>
  <c r="AE12" i="70"/>
  <c r="AC12" i="70"/>
  <c r="AA12" i="70"/>
  <c r="Y12" i="70"/>
  <c r="AH11" i="70"/>
  <c r="AD11" i="70"/>
  <c r="Z11" i="70"/>
  <c r="AJ10" i="70"/>
  <c r="AF10" i="70"/>
  <c r="AB10" i="70"/>
  <c r="Y10" i="70"/>
  <c r="C10" i="70"/>
  <c r="C11" i="70" s="1"/>
  <c r="E11" i="70" s="1"/>
  <c r="AJ9" i="70"/>
  <c r="AJ12" i="70" s="1"/>
  <c r="AI9" i="70"/>
  <c r="AI10" i="70" s="1"/>
  <c r="AH9" i="70"/>
  <c r="AH12" i="70" s="1"/>
  <c r="AG9" i="70"/>
  <c r="AG10" i="70" s="1"/>
  <c r="AF9" i="70"/>
  <c r="AF12" i="70" s="1"/>
  <c r="AE9" i="70"/>
  <c r="AE10" i="70" s="1"/>
  <c r="AD9" i="70"/>
  <c r="AD12" i="70" s="1"/>
  <c r="AC9" i="70"/>
  <c r="AC10" i="70" s="1"/>
  <c r="AB9" i="70"/>
  <c r="AB12" i="70" s="1"/>
  <c r="AA9" i="70"/>
  <c r="AA10" i="70" s="1"/>
  <c r="Z9" i="70"/>
  <c r="Z12" i="70" s="1"/>
  <c r="E9" i="70"/>
  <c r="C9" i="70"/>
  <c r="E8" i="70"/>
  <c r="A7" i="70"/>
  <c r="G3" i="70"/>
  <c r="I2" i="70"/>
  <c r="G2" i="70"/>
  <c r="O17" i="70" s="1"/>
  <c r="M1" i="70"/>
  <c r="D1" i="70"/>
  <c r="F113" i="69"/>
  <c r="B113" i="69"/>
  <c r="K108" i="69"/>
  <c r="G108" i="69"/>
  <c r="C108" i="69"/>
  <c r="G101" i="69"/>
  <c r="G106" i="69" s="1"/>
  <c r="K100" i="69"/>
  <c r="G100" i="69"/>
  <c r="D100" i="69"/>
  <c r="N99" i="69"/>
  <c r="M99" i="69"/>
  <c r="M108" i="69" s="1"/>
  <c r="L99" i="69"/>
  <c r="K99" i="69"/>
  <c r="J99" i="69"/>
  <c r="I99" i="69"/>
  <c r="I108" i="69" s="1"/>
  <c r="H99" i="69"/>
  <c r="G99" i="69"/>
  <c r="F99" i="69"/>
  <c r="E99" i="69"/>
  <c r="E108" i="69" s="1"/>
  <c r="D99" i="69"/>
  <c r="D108" i="69" s="1"/>
  <c r="C99" i="69"/>
  <c r="C100" i="69" s="1"/>
  <c r="N87" i="69"/>
  <c r="M87" i="69"/>
  <c r="K87" i="69"/>
  <c r="J87" i="69" s="1"/>
  <c r="D87" i="69"/>
  <c r="B87" i="69"/>
  <c r="M86" i="69"/>
  <c r="N86" i="69" s="1"/>
  <c r="K86" i="69"/>
  <c r="J86" i="69"/>
  <c r="D86" i="69"/>
  <c r="M85" i="69"/>
  <c r="N85" i="69" s="1"/>
  <c r="K85" i="69"/>
  <c r="J85" i="69"/>
  <c r="D85" i="69"/>
  <c r="B85" i="69"/>
  <c r="N84" i="69"/>
  <c r="M84" i="69"/>
  <c r="K84" i="69"/>
  <c r="J84" i="69" s="1"/>
  <c r="D84" i="69"/>
  <c r="B84" i="69"/>
  <c r="M83" i="69"/>
  <c r="N83" i="69" s="1"/>
  <c r="K83" i="69"/>
  <c r="J83" i="69"/>
  <c r="D83" i="69"/>
  <c r="B83" i="69"/>
  <c r="N82" i="69"/>
  <c r="M82" i="69"/>
  <c r="K82" i="69"/>
  <c r="J82" i="69" s="1"/>
  <c r="D82" i="69"/>
  <c r="B82" i="69"/>
  <c r="M81" i="69"/>
  <c r="N81" i="69" s="1"/>
  <c r="K81" i="69"/>
  <c r="J81" i="69"/>
  <c r="D81" i="69"/>
  <c r="E80" i="69" s="1"/>
  <c r="B78" i="69" s="1"/>
  <c r="B81" i="69"/>
  <c r="N80" i="69"/>
  <c r="M80" i="69"/>
  <c r="K80" i="69"/>
  <c r="J80" i="69" s="1"/>
  <c r="H80" i="69"/>
  <c r="F80" i="69"/>
  <c r="H86" i="69" s="1"/>
  <c r="D80" i="69"/>
  <c r="B80" i="69"/>
  <c r="N77" i="69"/>
  <c r="M77" i="69"/>
  <c r="K77" i="69"/>
  <c r="J77" i="69" s="1"/>
  <c r="D77" i="69"/>
  <c r="N76" i="69"/>
  <c r="M76" i="69"/>
  <c r="K76" i="69"/>
  <c r="J76" i="69" s="1"/>
  <c r="D76" i="69"/>
  <c r="B76" i="69"/>
  <c r="M75" i="69"/>
  <c r="N75" i="69" s="1"/>
  <c r="K75" i="69"/>
  <c r="J75" i="69"/>
  <c r="D75" i="69"/>
  <c r="M74" i="69"/>
  <c r="N74" i="69" s="1"/>
  <c r="K74" i="69"/>
  <c r="J74" i="69"/>
  <c r="D74" i="69"/>
  <c r="B74" i="69"/>
  <c r="N73" i="69"/>
  <c r="M73" i="69"/>
  <c r="K73" i="69"/>
  <c r="J73" i="69" s="1"/>
  <c r="D73" i="69"/>
  <c r="B73" i="69"/>
  <c r="M72" i="69"/>
  <c r="N72" i="69" s="1"/>
  <c r="K72" i="69"/>
  <c r="J72" i="69"/>
  <c r="D72" i="69"/>
  <c r="B72" i="69"/>
  <c r="N71" i="69"/>
  <c r="M71" i="69"/>
  <c r="K71" i="69"/>
  <c r="J71" i="69" s="1"/>
  <c r="D71" i="69"/>
  <c r="B71" i="69"/>
  <c r="M70" i="69"/>
  <c r="N70" i="69" s="1"/>
  <c r="K70" i="69"/>
  <c r="J70" i="69"/>
  <c r="D70" i="69"/>
  <c r="E69" i="69" s="1"/>
  <c r="B67" i="69" s="1"/>
  <c r="B70" i="69"/>
  <c r="N69" i="69"/>
  <c r="M69" i="69"/>
  <c r="K69" i="69"/>
  <c r="J69" i="69" s="1"/>
  <c r="F69" i="69"/>
  <c r="H75" i="69" s="1"/>
  <c r="D69" i="69"/>
  <c r="B69" i="69"/>
  <c r="N66" i="69"/>
  <c r="M66" i="69"/>
  <c r="K66" i="69"/>
  <c r="J66" i="69" s="1"/>
  <c r="D66" i="69"/>
  <c r="B66" i="69"/>
  <c r="M65" i="69"/>
  <c r="N65" i="69" s="1"/>
  <c r="K65" i="69"/>
  <c r="J65" i="69"/>
  <c r="D65" i="69"/>
  <c r="B65" i="69"/>
  <c r="N64" i="69"/>
  <c r="M64" i="69"/>
  <c r="K64" i="69"/>
  <c r="J64" i="69" s="1"/>
  <c r="D64" i="69"/>
  <c r="B64" i="69"/>
  <c r="M63" i="69"/>
  <c r="N63" i="69" s="1"/>
  <c r="K63" i="69"/>
  <c r="J63" i="69"/>
  <c r="D63" i="69"/>
  <c r="M62" i="69"/>
  <c r="N62" i="69" s="1"/>
  <c r="K62" i="69"/>
  <c r="J62" i="69"/>
  <c r="D62" i="69"/>
  <c r="B62" i="69"/>
  <c r="N61" i="69"/>
  <c r="M61" i="69"/>
  <c r="K61" i="69"/>
  <c r="J61" i="69" s="1"/>
  <c r="D61" i="69"/>
  <c r="N60" i="69"/>
  <c r="M60" i="69"/>
  <c r="K60" i="69"/>
  <c r="J60" i="69" s="1"/>
  <c r="D60" i="69"/>
  <c r="B60" i="69"/>
  <c r="M59" i="69"/>
  <c r="N59" i="69" s="1"/>
  <c r="K59" i="69"/>
  <c r="J59" i="69"/>
  <c r="D59" i="69"/>
  <c r="E58" i="69" s="1"/>
  <c r="B56" i="69" s="1"/>
  <c r="B59" i="69"/>
  <c r="N58" i="69"/>
  <c r="M58" i="69"/>
  <c r="K58" i="69"/>
  <c r="J58" i="69" s="1"/>
  <c r="F58" i="69"/>
  <c r="H65" i="69" s="1"/>
  <c r="D58" i="69"/>
  <c r="B58" i="69"/>
  <c r="N55" i="69"/>
  <c r="M55" i="69"/>
  <c r="K55" i="69"/>
  <c r="J55" i="69" s="1"/>
  <c r="D55" i="69"/>
  <c r="B55" i="69"/>
  <c r="M54" i="69"/>
  <c r="N54" i="69" s="1"/>
  <c r="K54" i="69"/>
  <c r="J54" i="69"/>
  <c r="D54" i="69"/>
  <c r="B54" i="69"/>
  <c r="N53" i="69"/>
  <c r="M53" i="69"/>
  <c r="K53" i="69"/>
  <c r="J53" i="69" s="1"/>
  <c r="D53" i="69"/>
  <c r="B53" i="69"/>
  <c r="M52" i="69"/>
  <c r="N52" i="69" s="1"/>
  <c r="K52" i="69"/>
  <c r="J52" i="69"/>
  <c r="D52" i="69"/>
  <c r="M51" i="69"/>
  <c r="N51" i="69" s="1"/>
  <c r="K51" i="69"/>
  <c r="J51" i="69"/>
  <c r="D51" i="69"/>
  <c r="B51" i="69"/>
  <c r="N50" i="69"/>
  <c r="M50" i="69"/>
  <c r="K50" i="69"/>
  <c r="J50" i="69" s="1"/>
  <c r="D50" i="69"/>
  <c r="N49" i="69"/>
  <c r="M49" i="69"/>
  <c r="K49" i="69"/>
  <c r="J49" i="69" s="1"/>
  <c r="D49" i="69"/>
  <c r="B49" i="69"/>
  <c r="M48" i="69"/>
  <c r="N48" i="69" s="1"/>
  <c r="K48" i="69"/>
  <c r="J48" i="69"/>
  <c r="D48" i="69"/>
  <c r="E47" i="69" s="1"/>
  <c r="B45" i="69" s="1"/>
  <c r="B48" i="69"/>
  <c r="N47" i="69"/>
  <c r="M47" i="69"/>
  <c r="K47" i="69"/>
  <c r="J47" i="69" s="1"/>
  <c r="D47" i="69"/>
  <c r="B47" i="69"/>
  <c r="H39" i="69"/>
  <c r="H38" i="69"/>
  <c r="H37" i="69"/>
  <c r="H36" i="69"/>
  <c r="H35" i="69"/>
  <c r="H34" i="69"/>
  <c r="H33" i="69"/>
  <c r="P25" i="69"/>
  <c r="C24" i="69"/>
  <c r="G22" i="69"/>
  <c r="P21" i="69"/>
  <c r="M20" i="69"/>
  <c r="J20" i="69"/>
  <c r="O19" i="69"/>
  <c r="M19" i="69"/>
  <c r="I19" i="69"/>
  <c r="G19" i="69"/>
  <c r="P24" i="69" s="1"/>
  <c r="C19" i="69"/>
  <c r="C18" i="69"/>
  <c r="F15" i="69"/>
  <c r="E15" i="69"/>
  <c r="D15" i="69"/>
  <c r="C15" i="69"/>
  <c r="C12" i="69" s="1"/>
  <c r="AI12" i="69"/>
  <c r="AG12" i="69"/>
  <c r="AE12" i="69"/>
  <c r="AC12" i="69"/>
  <c r="AA12" i="69"/>
  <c r="Y12" i="69"/>
  <c r="AH11" i="69"/>
  <c r="AD11" i="69"/>
  <c r="Z11" i="69"/>
  <c r="AJ10" i="69"/>
  <c r="AF10" i="69"/>
  <c r="AB10" i="69"/>
  <c r="Y10" i="69"/>
  <c r="C10" i="69"/>
  <c r="C11" i="69" s="1"/>
  <c r="E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E9" i="69"/>
  <c r="C9" i="69"/>
  <c r="E8" i="69"/>
  <c r="A7" i="69"/>
  <c r="G3" i="69"/>
  <c r="I2" i="69"/>
  <c r="G2" i="69"/>
  <c r="O17" i="69" s="1"/>
  <c r="M1" i="69"/>
  <c r="D1" i="69"/>
  <c r="K17" i="69" l="1"/>
  <c r="H61" i="69"/>
  <c r="H58" i="69"/>
  <c r="H66" i="69"/>
  <c r="H84" i="69"/>
  <c r="H71" i="69"/>
  <c r="H76" i="69"/>
  <c r="X7" i="69"/>
  <c r="H60" i="69"/>
  <c r="H64" i="69"/>
  <c r="H69" i="69"/>
  <c r="H73" i="69"/>
  <c r="H77" i="69"/>
  <c r="H82" i="69"/>
  <c r="H87" i="69"/>
  <c r="C12" i="70"/>
  <c r="K17" i="70"/>
  <c r="H61" i="70"/>
  <c r="H84" i="70"/>
  <c r="H49" i="70"/>
  <c r="H53" i="70"/>
  <c r="X7" i="70"/>
  <c r="H47" i="70"/>
  <c r="H50" i="70"/>
  <c r="H55" i="70"/>
  <c r="H60" i="70"/>
  <c r="H64" i="70"/>
  <c r="H82" i="70"/>
  <c r="H87" i="70"/>
  <c r="AC13" i="70"/>
  <c r="N12" i="70"/>
  <c r="M11" i="70"/>
  <c r="M10" i="70"/>
  <c r="N9" i="70"/>
  <c r="N2" i="70"/>
  <c r="M3" i="70"/>
  <c r="N4" i="70"/>
  <c r="M5" i="70"/>
  <c r="M6" i="70"/>
  <c r="N7" i="70"/>
  <c r="N8" i="70"/>
  <c r="F69" i="70" s="1"/>
  <c r="N10" i="70"/>
  <c r="N11" i="70"/>
  <c r="M12" i="70"/>
  <c r="E109" i="70"/>
  <c r="M109" i="70"/>
  <c r="G103" i="70"/>
  <c r="G105" i="70"/>
  <c r="G107" i="70"/>
  <c r="G109"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D117" i="70"/>
  <c r="E117" i="70" s="1"/>
  <c r="F117" i="70" s="1"/>
  <c r="G117" i="70" s="1"/>
  <c r="H117" i="70" s="1"/>
  <c r="D116" i="70"/>
  <c r="E116" i="70" s="1"/>
  <c r="F116" i="70" s="1"/>
  <c r="G116" i="70" s="1"/>
  <c r="H116" i="70" s="1"/>
  <c r="D115" i="70"/>
  <c r="E115" i="70" s="1"/>
  <c r="F115" i="70" s="1"/>
  <c r="G115" i="70" s="1"/>
  <c r="H115" i="70" s="1"/>
  <c r="B115" i="70"/>
  <c r="C115" i="70" s="1"/>
  <c r="B117" i="70"/>
  <c r="C117" i="70" s="1"/>
  <c r="N1" i="70"/>
  <c r="H113" i="70"/>
  <c r="F39" i="70"/>
  <c r="F38" i="70"/>
  <c r="F37" i="70"/>
  <c r="F36" i="70"/>
  <c r="F35" i="70"/>
  <c r="F34" i="70"/>
  <c r="F33" i="70"/>
  <c r="N17" i="70"/>
  <c r="L17" i="70"/>
  <c r="J17" i="70"/>
  <c r="H17" i="70"/>
  <c r="E17" i="70"/>
  <c r="C17" i="70"/>
  <c r="M2" i="70"/>
  <c r="N101" i="70"/>
  <c r="L101" i="70"/>
  <c r="J101" i="70"/>
  <c r="H101" i="70"/>
  <c r="F101" i="70"/>
  <c r="D101" i="70"/>
  <c r="M101" i="70"/>
  <c r="I101" i="70"/>
  <c r="E101" i="70"/>
  <c r="H22" i="70"/>
  <c r="F22" i="70"/>
  <c r="AI11" i="70"/>
  <c r="AI13" i="70" s="1"/>
  <c r="AG11" i="70"/>
  <c r="AG13" i="70" s="1"/>
  <c r="AE11" i="70"/>
  <c r="AE13" i="70" s="1"/>
  <c r="AC11" i="70"/>
  <c r="AA11" i="70"/>
  <c r="AA13" i="70" s="1"/>
  <c r="Y11" i="70"/>
  <c r="Y13" i="70" s="1"/>
  <c r="N3" i="70"/>
  <c r="M4" i="70"/>
  <c r="N5" i="70"/>
  <c r="N6" i="70"/>
  <c r="M7" i="70"/>
  <c r="Z7" i="70"/>
  <c r="M8" i="70"/>
  <c r="C6" i="70" s="1"/>
  <c r="M9" i="70"/>
  <c r="Z13" i="70"/>
  <c r="AB13" i="70"/>
  <c r="AD13" i="70"/>
  <c r="AH13" i="70"/>
  <c r="AJ13" i="70"/>
  <c r="E10" i="70"/>
  <c r="C7" i="70" s="1"/>
  <c r="Z10" i="70"/>
  <c r="AD10" i="70"/>
  <c r="AH10" i="70"/>
  <c r="AB11" i="70"/>
  <c r="AF11" i="70"/>
  <c r="AF13" i="70" s="1"/>
  <c r="AJ11" i="70"/>
  <c r="D17" i="70"/>
  <c r="I17" i="70"/>
  <c r="M17" i="70"/>
  <c r="E22" i="70"/>
  <c r="J22" i="70"/>
  <c r="F108" i="70"/>
  <c r="F109" i="70" s="1"/>
  <c r="F100" i="70"/>
  <c r="H108" i="70"/>
  <c r="H109" i="70" s="1"/>
  <c r="H100" i="70"/>
  <c r="J108" i="70"/>
  <c r="J109" i="70" s="1"/>
  <c r="J100" i="70"/>
  <c r="L108" i="70"/>
  <c r="L109" i="70" s="1"/>
  <c r="L100" i="70"/>
  <c r="N108" i="70"/>
  <c r="N109" i="70" s="1"/>
  <c r="N100" i="70"/>
  <c r="C101" i="70"/>
  <c r="K101" i="70"/>
  <c r="G102" i="70"/>
  <c r="G104" i="70"/>
  <c r="B116" i="70"/>
  <c r="C116" i="70" s="1"/>
  <c r="B118" i="70"/>
  <c r="C118" i="70" s="1"/>
  <c r="P22" i="70"/>
  <c r="P23" i="70"/>
  <c r="H48" i="70"/>
  <c r="H51" i="70"/>
  <c r="H52" i="70"/>
  <c r="H59" i="70"/>
  <c r="H62" i="70"/>
  <c r="H63" i="70"/>
  <c r="H70" i="70"/>
  <c r="H72" i="70"/>
  <c r="H74" i="70"/>
  <c r="H81" i="70"/>
  <c r="H83" i="70"/>
  <c r="H85" i="70"/>
  <c r="E100" i="70"/>
  <c r="I100" i="70"/>
  <c r="M100" i="70"/>
  <c r="AC13" i="69"/>
  <c r="N12" i="69"/>
  <c r="M11" i="69"/>
  <c r="M10" i="69"/>
  <c r="N9" i="69"/>
  <c r="N2" i="69"/>
  <c r="M3" i="69"/>
  <c r="N4" i="69"/>
  <c r="M5" i="69"/>
  <c r="M6" i="69"/>
  <c r="N7" i="69"/>
  <c r="N8" i="69"/>
  <c r="F47" i="69" s="1"/>
  <c r="H48" i="69" s="1"/>
  <c r="N10" i="69"/>
  <c r="N11" i="69"/>
  <c r="M12" i="69"/>
  <c r="E109" i="69"/>
  <c r="M109" i="69"/>
  <c r="G103" i="69"/>
  <c r="G105" i="69"/>
  <c r="G107" i="69"/>
  <c r="G109" i="69"/>
  <c r="I118" i="69"/>
  <c r="J118" i="69" s="1"/>
  <c r="K118" i="69" s="1"/>
  <c r="L118" i="69" s="1"/>
  <c r="M118" i="69" s="1"/>
  <c r="G118" i="69"/>
  <c r="H118" i="69" s="1"/>
  <c r="I117" i="69"/>
  <c r="J117" i="69" s="1"/>
  <c r="K117" i="69" s="1"/>
  <c r="L117" i="69" s="1"/>
  <c r="M117" i="69" s="1"/>
  <c r="I116" i="69"/>
  <c r="J116" i="69" s="1"/>
  <c r="K116" i="69" s="1"/>
  <c r="L116" i="69" s="1"/>
  <c r="M116" i="69" s="1"/>
  <c r="I115" i="69"/>
  <c r="J115" i="69" s="1"/>
  <c r="K115" i="69" s="1"/>
  <c r="L115" i="69" s="1"/>
  <c r="M115" i="69" s="1"/>
  <c r="D118" i="69"/>
  <c r="E118" i="69" s="1"/>
  <c r="F118" i="69" s="1"/>
  <c r="D117" i="69"/>
  <c r="E117" i="69" s="1"/>
  <c r="F117" i="69" s="1"/>
  <c r="G117" i="69" s="1"/>
  <c r="H117" i="69" s="1"/>
  <c r="D116" i="69"/>
  <c r="E116" i="69" s="1"/>
  <c r="F116" i="69" s="1"/>
  <c r="G116" i="69" s="1"/>
  <c r="H116" i="69" s="1"/>
  <c r="D115" i="69"/>
  <c r="E115" i="69" s="1"/>
  <c r="F115" i="69" s="1"/>
  <c r="G115" i="69" s="1"/>
  <c r="H115" i="69" s="1"/>
  <c r="B115" i="69"/>
  <c r="C115" i="69" s="1"/>
  <c r="B117" i="69"/>
  <c r="C117" i="69" s="1"/>
  <c r="N1" i="69"/>
  <c r="H113" i="69"/>
  <c r="F39" i="69"/>
  <c r="F38" i="69"/>
  <c r="F37" i="69"/>
  <c r="F36" i="69"/>
  <c r="F35" i="69"/>
  <c r="F34" i="69"/>
  <c r="F33" i="69"/>
  <c r="N17" i="69"/>
  <c r="L17" i="69"/>
  <c r="J17" i="69"/>
  <c r="H17" i="69"/>
  <c r="E17" i="69"/>
  <c r="C17" i="69"/>
  <c r="M2" i="69"/>
  <c r="N101" i="69"/>
  <c r="L101" i="69"/>
  <c r="J101" i="69"/>
  <c r="H101" i="69"/>
  <c r="F101" i="69"/>
  <c r="D101" i="69"/>
  <c r="M101" i="69"/>
  <c r="I101" i="69"/>
  <c r="E101" i="69"/>
  <c r="H22" i="69"/>
  <c r="F22" i="69"/>
  <c r="AI11" i="69"/>
  <c r="AI13" i="69" s="1"/>
  <c r="AG11" i="69"/>
  <c r="AG13" i="69" s="1"/>
  <c r="AE11" i="69"/>
  <c r="AE13" i="69" s="1"/>
  <c r="AC11" i="69"/>
  <c r="AA11" i="69"/>
  <c r="AA13" i="69" s="1"/>
  <c r="Y11" i="69"/>
  <c r="Y13" i="69" s="1"/>
  <c r="N3" i="69"/>
  <c r="M4" i="69"/>
  <c r="N5" i="69"/>
  <c r="N6" i="69"/>
  <c r="M7" i="69"/>
  <c r="Z7" i="69"/>
  <c r="M8" i="69"/>
  <c r="C6" i="69" s="1"/>
  <c r="M9" i="69"/>
  <c r="Z13" i="69"/>
  <c r="AB13" i="69"/>
  <c r="AD13" i="69"/>
  <c r="AH13" i="69"/>
  <c r="AJ13" i="69"/>
  <c r="E10" i="69"/>
  <c r="C7" i="69" s="1"/>
  <c r="Z10" i="69"/>
  <c r="AD10" i="69"/>
  <c r="AH10" i="69"/>
  <c r="AB11" i="69"/>
  <c r="AF11" i="69"/>
  <c r="AF13" i="69" s="1"/>
  <c r="AJ11" i="69"/>
  <c r="D17" i="69"/>
  <c r="I17" i="69"/>
  <c r="M17" i="69"/>
  <c r="E22" i="69"/>
  <c r="D22" i="69" s="1"/>
  <c r="J22" i="69"/>
  <c r="F108" i="69"/>
  <c r="F109" i="69" s="1"/>
  <c r="F100" i="69"/>
  <c r="H108" i="69"/>
  <c r="H109" i="69" s="1"/>
  <c r="H100" i="69"/>
  <c r="J108" i="69"/>
  <c r="J109" i="69" s="1"/>
  <c r="J100" i="69"/>
  <c r="L108" i="69"/>
  <c r="L109" i="69" s="1"/>
  <c r="L100" i="69"/>
  <c r="N108" i="69"/>
  <c r="N109" i="69" s="1"/>
  <c r="N100" i="69"/>
  <c r="C101" i="69"/>
  <c r="K101" i="69"/>
  <c r="G102" i="69"/>
  <c r="G104" i="69"/>
  <c r="B116" i="69"/>
  <c r="C116" i="69" s="1"/>
  <c r="B118" i="69"/>
  <c r="C118" i="69" s="1"/>
  <c r="P22" i="69"/>
  <c r="P23" i="69"/>
  <c r="H52" i="69"/>
  <c r="H59" i="69"/>
  <c r="H62" i="69"/>
  <c r="H63" i="69"/>
  <c r="H70" i="69"/>
  <c r="H72" i="69"/>
  <c r="H74" i="69"/>
  <c r="H81" i="69"/>
  <c r="H83" i="69"/>
  <c r="H85" i="69"/>
  <c r="E100" i="69"/>
  <c r="I100" i="69"/>
  <c r="M100" i="69"/>
  <c r="AH5" i="59"/>
  <c r="AG5" i="59"/>
  <c r="AE5" i="59"/>
  <c r="AF5" i="59" s="1"/>
  <c r="AD5" i="59"/>
  <c r="Q5" i="59"/>
  <c r="P5" i="59"/>
  <c r="O5" i="59"/>
  <c r="N5" i="59"/>
  <c r="H54" i="69" l="1"/>
  <c r="H55" i="69"/>
  <c r="H50" i="69"/>
  <c r="H47" i="69"/>
  <c r="H53" i="69"/>
  <c r="H49" i="69"/>
  <c r="H51" i="69"/>
  <c r="D22" i="70"/>
  <c r="H75" i="70"/>
  <c r="H77" i="70"/>
  <c r="H73" i="70"/>
  <c r="H69" i="70"/>
  <c r="H76" i="70"/>
  <c r="H71" i="70"/>
  <c r="I107" i="70"/>
  <c r="I106" i="70"/>
  <c r="I105" i="70"/>
  <c r="I104" i="70"/>
  <c r="I103" i="70"/>
  <c r="I102" i="70"/>
  <c r="D107" i="70"/>
  <c r="D106" i="70"/>
  <c r="D105" i="70"/>
  <c r="D104" i="70"/>
  <c r="D103" i="70"/>
  <c r="D102" i="70"/>
  <c r="H107" i="70"/>
  <c r="H106" i="70"/>
  <c r="H105" i="70"/>
  <c r="H104" i="70"/>
  <c r="H103" i="70"/>
  <c r="H102" i="70"/>
  <c r="L107" i="70"/>
  <c r="L106" i="70"/>
  <c r="L105" i="70"/>
  <c r="L104" i="70"/>
  <c r="L103" i="70"/>
  <c r="L102" i="70"/>
  <c r="G17" i="70"/>
  <c r="C16" i="70" s="1"/>
  <c r="D5" i="70" s="1"/>
  <c r="C107" i="70"/>
  <c r="C105" i="70"/>
  <c r="C103" i="70"/>
  <c r="C106" i="70"/>
  <c r="C104" i="70"/>
  <c r="C102" i="70"/>
  <c r="C109" i="70"/>
  <c r="D113" i="70"/>
  <c r="K107" i="70"/>
  <c r="K105" i="70"/>
  <c r="K103" i="70"/>
  <c r="K106" i="70"/>
  <c r="K104" i="70"/>
  <c r="K102" i="70"/>
  <c r="D109" i="70"/>
  <c r="E107" i="70"/>
  <c r="E106" i="70"/>
  <c r="E105" i="70"/>
  <c r="E104" i="70"/>
  <c r="E103" i="70"/>
  <c r="E102" i="70"/>
  <c r="M107" i="70"/>
  <c r="M106" i="70"/>
  <c r="M105" i="70"/>
  <c r="M104" i="70"/>
  <c r="M103" i="70"/>
  <c r="M102" i="70"/>
  <c r="F107" i="70"/>
  <c r="F106" i="70"/>
  <c r="F105" i="70"/>
  <c r="F104" i="70"/>
  <c r="F103" i="70"/>
  <c r="F102" i="70"/>
  <c r="J107" i="70"/>
  <c r="J106" i="70"/>
  <c r="J105" i="70"/>
  <c r="J104" i="70"/>
  <c r="J103" i="70"/>
  <c r="J102" i="70"/>
  <c r="N107" i="70"/>
  <c r="N106" i="70"/>
  <c r="N105" i="70"/>
  <c r="N104" i="70"/>
  <c r="N103" i="70"/>
  <c r="N102" i="70"/>
  <c r="I109" i="70"/>
  <c r="K109" i="70"/>
  <c r="C107" i="69"/>
  <c r="C105" i="69"/>
  <c r="C103" i="69"/>
  <c r="C106" i="69"/>
  <c r="C104" i="69"/>
  <c r="C102" i="69"/>
  <c r="I107" i="69"/>
  <c r="I106" i="69"/>
  <c r="I105" i="69"/>
  <c r="I104" i="69"/>
  <c r="I103" i="69"/>
  <c r="I102" i="69"/>
  <c r="D107" i="69"/>
  <c r="D106" i="69"/>
  <c r="D105" i="69"/>
  <c r="D104" i="69"/>
  <c r="D103" i="69"/>
  <c r="D102" i="69"/>
  <c r="H107" i="69"/>
  <c r="H106" i="69"/>
  <c r="H105" i="69"/>
  <c r="H104" i="69"/>
  <c r="H103" i="69"/>
  <c r="H102" i="69"/>
  <c r="L107" i="69"/>
  <c r="L106" i="69"/>
  <c r="L105" i="69"/>
  <c r="L104" i="69"/>
  <c r="L103" i="69"/>
  <c r="L102" i="69"/>
  <c r="G17" i="69"/>
  <c r="C16" i="69" s="1"/>
  <c r="D5" i="69" s="1"/>
  <c r="C109" i="69"/>
  <c r="D113" i="69"/>
  <c r="K107" i="69"/>
  <c r="K105" i="69"/>
  <c r="K103" i="69"/>
  <c r="K106" i="69"/>
  <c r="K104" i="69"/>
  <c r="K102" i="69"/>
  <c r="D109" i="69"/>
  <c r="E107" i="69"/>
  <c r="E106" i="69"/>
  <c r="E105" i="69"/>
  <c r="E104" i="69"/>
  <c r="E103" i="69"/>
  <c r="E102" i="69"/>
  <c r="M107" i="69"/>
  <c r="M106" i="69"/>
  <c r="M105" i="69"/>
  <c r="M104" i="69"/>
  <c r="M103" i="69"/>
  <c r="M102" i="69"/>
  <c r="F107" i="69"/>
  <c r="F106" i="69"/>
  <c r="F105" i="69"/>
  <c r="F104" i="69"/>
  <c r="F103" i="69"/>
  <c r="F102" i="69"/>
  <c r="J107" i="69"/>
  <c r="J106" i="69"/>
  <c r="J105" i="69"/>
  <c r="J104" i="69"/>
  <c r="J103" i="69"/>
  <c r="J102" i="69"/>
  <c r="N107" i="69"/>
  <c r="N106" i="69"/>
  <c r="N105" i="69"/>
  <c r="N104" i="69"/>
  <c r="N103" i="69"/>
  <c r="N102" i="69"/>
  <c r="I109" i="69"/>
  <c r="K109" i="6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C5" i="69" l="1"/>
  <c r="C5" i="70"/>
  <c r="C23" i="70"/>
  <c r="S6" i="70"/>
  <c r="S5" i="70"/>
  <c r="S3" i="70"/>
  <c r="S7" i="70"/>
  <c r="S2" i="70"/>
  <c r="S4" i="70"/>
  <c r="C23" i="69"/>
  <c r="S6" i="69"/>
  <c r="S5" i="69"/>
  <c r="S3" i="69"/>
  <c r="S7" i="69"/>
  <c r="S2" i="69"/>
  <c r="S4" i="69"/>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E23" i="68"/>
  <c r="D38" i="68"/>
  <c r="D39" i="68" s="1"/>
  <c r="D32" i="68"/>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C20" i="59" s="1"/>
  <c r="N20" i="59"/>
  <c r="M19" i="46"/>
  <c r="J50" i="15"/>
  <c r="J51" i="15"/>
  <c r="D22" i="59"/>
  <c r="AH20" i="59"/>
  <c r="AG20" i="59"/>
  <c r="AE20" i="59"/>
  <c r="AF20" i="59" s="1"/>
  <c r="AD20" i="59"/>
  <c r="AE21" i="59"/>
  <c r="AF21" i="59" s="1"/>
  <c r="AG21" i="59"/>
  <c r="AH21" i="59"/>
  <c r="AD21" i="59"/>
  <c r="Q21" i="59"/>
  <c r="F21" i="59" s="1"/>
  <c r="V21" i="59" s="1"/>
  <c r="P21" i="59"/>
  <c r="E21" i="59" s="1"/>
  <c r="U21" i="59" s="1"/>
  <c r="O21" i="59"/>
  <c r="C21" i="59" s="1"/>
  <c r="T21" i="59" s="1"/>
  <c r="N21" i="59"/>
  <c r="N22" i="59"/>
  <c r="Q22" i="59"/>
  <c r="P22" i="59"/>
  <c r="O22" i="59"/>
  <c r="A30" i="51"/>
  <c r="K59" i="15"/>
  <c r="P62" i="15"/>
  <c r="P75"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s="1"/>
  <c r="B19" i="59" s="1"/>
  <c r="E20" i="59"/>
  <c r="E19" i="59" s="1"/>
  <c r="S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D21"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s="1"/>
  <c r="B40" i="50"/>
  <c r="B3" i="63" s="1"/>
  <c r="N4" i="63"/>
  <c r="B67" i="63"/>
  <c r="I19" i="46"/>
  <c r="Q25" i="59"/>
  <c r="P25" i="59"/>
  <c r="O25" i="59"/>
  <c r="N25" i="59"/>
  <c r="B25" i="59" s="1"/>
  <c r="D86" i="59"/>
  <c r="F85" i="59"/>
  <c r="E85" i="59"/>
  <c r="E84" i="59" s="1"/>
  <c r="E83" i="59" s="1"/>
  <c r="C85" i="59"/>
  <c r="D85" i="59"/>
  <c r="B85" i="59"/>
  <c r="F84" i="59"/>
  <c r="F83" i="59" s="1"/>
  <c r="B84" i="59"/>
  <c r="B83" i="59" s="1"/>
  <c r="D82" i="59"/>
  <c r="F81" i="59"/>
  <c r="E81" i="59"/>
  <c r="E80" i="59" s="1"/>
  <c r="E79" i="59" s="1"/>
  <c r="C81" i="59"/>
  <c r="B81" i="59"/>
  <c r="F80" i="59"/>
  <c r="F79" i="59" s="1"/>
  <c r="B80" i="59"/>
  <c r="B79" i="59" s="1"/>
  <c r="D78" i="59"/>
  <c r="Q77" i="59"/>
  <c r="P77" i="59"/>
  <c r="O77" i="59"/>
  <c r="N77" i="59"/>
  <c r="F77" i="59"/>
  <c r="V77" i="59" s="1"/>
  <c r="E77" i="59"/>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F68" i="59"/>
  <c r="F67" i="59" s="1"/>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Q50" i="59"/>
  <c r="F51" i="59"/>
  <c r="F52" i="59" s="1"/>
  <c r="F53" i="59" s="1"/>
  <c r="P50" i="59"/>
  <c r="E51" i="59"/>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O46" i="59"/>
  <c r="C47" i="59"/>
  <c r="D47" i="59" s="1"/>
  <c r="N46" i="59"/>
  <c r="B47" i="59"/>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C40"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D35" i="59" s="1"/>
  <c r="N34" i="59"/>
  <c r="D34" i="59"/>
  <c r="Q33" i="59"/>
  <c r="P33" i="59"/>
  <c r="AA33" i="59" s="1"/>
  <c r="O33" i="59"/>
  <c r="N33" i="59"/>
  <c r="Q32" i="59"/>
  <c r="P32" i="59"/>
  <c r="AA32" i="59" s="1"/>
  <c r="O32" i="59"/>
  <c r="N32" i="59"/>
  <c r="Q31" i="59"/>
  <c r="P31" i="59"/>
  <c r="AA31" i="59" s="1"/>
  <c r="O31" i="59"/>
  <c r="N31" i="59"/>
  <c r="Q30" i="59"/>
  <c r="F31" i="59"/>
  <c r="F32" i="59" s="1"/>
  <c r="F33" i="59" s="1"/>
  <c r="P30" i="59"/>
  <c r="E31" i="59"/>
  <c r="E32" i="59" s="1"/>
  <c r="E33" i="59" s="1"/>
  <c r="U33" i="59" s="1"/>
  <c r="O30" i="59"/>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O26" i="59"/>
  <c r="C27" i="59" s="1"/>
  <c r="N26" i="59"/>
  <c r="D26" i="59"/>
  <c r="AB3" i="59"/>
  <c r="E27" i="59"/>
  <c r="E28" i="59" s="1"/>
  <c r="E29" i="59" s="1"/>
  <c r="U29" i="59" s="1"/>
  <c r="B48" i="59"/>
  <c r="B49" i="59" s="1"/>
  <c r="S49" i="59" s="1"/>
  <c r="E48" i="59"/>
  <c r="E49" i="59" s="1"/>
  <c r="U49" i="59" s="1"/>
  <c r="S65" i="59"/>
  <c r="V33" i="59"/>
  <c r="F45" i="59"/>
  <c r="V45" i="59" s="1"/>
  <c r="V53" i="59"/>
  <c r="F60" i="59"/>
  <c r="F61" i="59" s="1"/>
  <c r="V61" i="59" s="1"/>
  <c r="C36" i="59"/>
  <c r="D39" i="59"/>
  <c r="C48" i="59"/>
  <c r="D48" i="59" s="1"/>
  <c r="C52" i="59"/>
  <c r="D55" i="59"/>
  <c r="C60" i="59"/>
  <c r="O65" i="59"/>
  <c r="C64" i="59"/>
  <c r="O64" i="59" s="1"/>
  <c r="Q65" i="59"/>
  <c r="C72" i="59"/>
  <c r="D73" i="59"/>
  <c r="C84" i="59"/>
  <c r="U16" i="4"/>
  <c r="S16" i="4"/>
  <c r="T16" i="4" s="1"/>
  <c r="Q16" i="4"/>
  <c r="O16" i="4"/>
  <c r="N16" i="4" s="1"/>
  <c r="M16" i="4"/>
  <c r="K16" i="4"/>
  <c r="L16" i="4" s="1"/>
  <c r="C63" i="59"/>
  <c r="D63" i="59" s="1"/>
  <c r="D64" i="59"/>
  <c r="D72" i="59"/>
  <c r="C71" i="59"/>
  <c r="D71" i="59" s="1"/>
  <c r="C61" i="59"/>
  <c r="D60" i="59"/>
  <c r="D56" i="59"/>
  <c r="C57" i="59"/>
  <c r="D57" i="59" s="1"/>
  <c r="C53" i="59"/>
  <c r="D53" i="59" s="1"/>
  <c r="D52" i="59"/>
  <c r="C49" i="59"/>
  <c r="C41" i="59"/>
  <c r="D41" i="59" s="1"/>
  <c r="D40" i="59"/>
  <c r="C37" i="59"/>
  <c r="D37" i="59" s="1"/>
  <c r="D36" i="59"/>
  <c r="T57" i="59"/>
  <c r="T37" i="59"/>
  <c r="T41" i="59"/>
  <c r="T53" i="59"/>
  <c r="O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21" i="21"/>
  <c r="AA21" i="21"/>
  <c r="C21" i="21"/>
  <c r="Z27" i="40"/>
  <c r="Q27" i="40"/>
  <c r="D96" i="40"/>
  <c r="E96" i="40" s="1"/>
  <c r="F27" i="40"/>
  <c r="Z31" i="39"/>
  <c r="Q31" i="39"/>
  <c r="D105" i="39"/>
  <c r="E105" i="39" s="1"/>
  <c r="F31" i="39"/>
  <c r="AA31" i="39" s="1"/>
  <c r="G20" i="20"/>
  <c r="C22" i="20"/>
  <c r="S18" i="36"/>
  <c r="S21" i="37"/>
  <c r="S21" i="21"/>
  <c r="S31" i="39"/>
  <c r="C31" i="39"/>
  <c r="B74" i="46"/>
  <c r="E66" i="36"/>
  <c r="H18" i="35"/>
  <c r="J18" i="35"/>
  <c r="H21" i="37"/>
  <c r="J21" i="37"/>
  <c r="E84" i="34"/>
  <c r="F84" i="34" s="1"/>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I60" i="40" s="1"/>
  <c r="C60" i="40" s="1"/>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S29" i="31" s="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S57" i="31" s="1"/>
  <c r="R58" i="31"/>
  <c r="S58" i="31"/>
  <c r="R59" i="31"/>
  <c r="R60" i="31"/>
  <c r="S60" i="31" s="1"/>
  <c r="R61" i="31"/>
  <c r="S61" i="31" s="1"/>
  <c r="R62" i="31"/>
  <c r="S62" i="31"/>
  <c r="R63" i="31"/>
  <c r="R64" i="31"/>
  <c r="S64" i="31" s="1"/>
  <c r="R65" i="31"/>
  <c r="S65" i="31" s="1"/>
  <c r="R66" i="31"/>
  <c r="S66" i="31"/>
  <c r="R67" i="31"/>
  <c r="R68" i="31"/>
  <c r="S68" i="31" s="1"/>
  <c r="R69" i="31"/>
  <c r="S69" i="31" s="1"/>
  <c r="R70" i="31"/>
  <c r="S70" i="31"/>
  <c r="R71" i="31"/>
  <c r="R72" i="31"/>
  <c r="S72" i="31" s="1"/>
  <c r="R73" i="31"/>
  <c r="S73" i="31" s="1"/>
  <c r="R74" i="31"/>
  <c r="S74" i="31"/>
  <c r="R75" i="31"/>
  <c r="R76" i="31"/>
  <c r="S76" i="31" s="1"/>
  <c r="R77" i="31"/>
  <c r="S77" i="31" s="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S101" i="31" s="1"/>
  <c r="R102" i="31"/>
  <c r="S102" i="31"/>
  <c r="R103" i="31"/>
  <c r="R104" i="31"/>
  <c r="S104" i="31" s="1"/>
  <c r="R105" i="31"/>
  <c r="S105" i="31" s="1"/>
  <c r="R106" i="31"/>
  <c r="S106" i="31"/>
  <c r="R107" i="31"/>
  <c r="R108" i="31"/>
  <c r="S108" i="31" s="1"/>
  <c r="R109" i="31"/>
  <c r="S109" i="31" s="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S125" i="31" s="1"/>
  <c r="R126" i="31"/>
  <c r="S126" i="31"/>
  <c r="R127" i="31"/>
  <c r="R128" i="31"/>
  <c r="S128" i="31" s="1"/>
  <c r="R129" i="31"/>
  <c r="S129" i="31" s="1"/>
  <c r="R130" i="31"/>
  <c r="S130" i="31"/>
  <c r="R131" i="31"/>
  <c r="R132" i="31"/>
  <c r="S132" i="31" s="1"/>
  <c r="R133" i="31"/>
  <c r="S133" i="31" s="1"/>
  <c r="R134" i="31"/>
  <c r="S134" i="31"/>
  <c r="R135" i="31"/>
  <c r="R136" i="31"/>
  <c r="S136" i="31" s="1"/>
  <c r="R137" i="31"/>
  <c r="S137" i="31" s="1"/>
  <c r="R138" i="31"/>
  <c r="S138" i="31"/>
  <c r="R139" i="31"/>
  <c r="R140" i="31"/>
  <c r="S140" i="31" s="1"/>
  <c r="R141" i="31"/>
  <c r="S141" i="31" s="1"/>
  <c r="R142" i="31"/>
  <c r="S142" i="31"/>
  <c r="R143" i="31"/>
  <c r="R144" i="31"/>
  <c r="S144" i="31" s="1"/>
  <c r="R145" i="31"/>
  <c r="S145" i="31" s="1"/>
  <c r="R146" i="31"/>
  <c r="S146" i="31"/>
  <c r="R147" i="31"/>
  <c r="R148" i="31"/>
  <c r="S148" i="31" s="1"/>
  <c r="R149" i="31"/>
  <c r="S149" i="31" s="1"/>
  <c r="R150" i="31"/>
  <c r="S150" i="31"/>
  <c r="R151" i="31"/>
  <c r="R152" i="31"/>
  <c r="S152" i="31" s="1"/>
  <c r="R153" i="31"/>
  <c r="S153" i="31" s="1"/>
  <c r="R154" i="31"/>
  <c r="S154" i="31"/>
  <c r="R155" i="31"/>
  <c r="R156" i="31"/>
  <c r="S156" i="31" s="1"/>
  <c r="R157" i="31"/>
  <c r="S157" i="31" s="1"/>
  <c r="R158" i="31"/>
  <c r="S158" i="31"/>
  <c r="R159" i="31"/>
  <c r="R160" i="31"/>
  <c r="S160" i="31" s="1"/>
  <c r="R161" i="31"/>
  <c r="S161" i="31" s="1"/>
  <c r="R162" i="31"/>
  <c r="S162" i="31"/>
  <c r="R163" i="31"/>
  <c r="R164" i="31"/>
  <c r="S164" i="31" s="1"/>
  <c r="R165" i="31"/>
  <c r="S165" i="31" s="1"/>
  <c r="R166" i="31"/>
  <c r="S166" i="31"/>
  <c r="R167" i="31"/>
  <c r="R168" i="31"/>
  <c r="S168" i="31" s="1"/>
  <c r="R169" i="31"/>
  <c r="S169" i="31" s="1"/>
  <c r="R170" i="31"/>
  <c r="S170" i="31"/>
  <c r="R171" i="31"/>
  <c r="R172" i="31"/>
  <c r="S172" i="31" s="1"/>
  <c r="R173" i="31"/>
  <c r="S173" i="31" s="1"/>
  <c r="R174" i="31"/>
  <c r="S174" i="31"/>
  <c r="R175" i="31"/>
  <c r="R176" i="31"/>
  <c r="S176" i="31" s="1"/>
  <c r="R177" i="31"/>
  <c r="S177" i="31" s="1"/>
  <c r="R178" i="31"/>
  <c r="S178" i="31"/>
  <c r="R179" i="31"/>
  <c r="R180" i="31"/>
  <c r="S180" i="31" s="1"/>
  <c r="R181" i="31"/>
  <c r="S181" i="31" s="1"/>
  <c r="R182" i="31"/>
  <c r="S182" i="31"/>
  <c r="R183" i="31"/>
  <c r="R184" i="31"/>
  <c r="S184" i="31" s="1"/>
  <c r="R185" i="31"/>
  <c r="S185" i="31" s="1"/>
  <c r="R186" i="31"/>
  <c r="S186" i="31"/>
  <c r="R187" i="31"/>
  <c r="R188" i="31"/>
  <c r="S188" i="31" s="1"/>
  <c r="R189" i="31"/>
  <c r="S189" i="31" s="1"/>
  <c r="R190" i="31"/>
  <c r="S190" i="31"/>
  <c r="R191" i="31"/>
  <c r="R192" i="31"/>
  <c r="S192" i="31" s="1"/>
  <c r="R193" i="31"/>
  <c r="S193" i="31" s="1"/>
  <c r="R194" i="31"/>
  <c r="S194" i="31"/>
  <c r="R195" i="31"/>
  <c r="R196" i="31"/>
  <c r="S196" i="31" s="1"/>
  <c r="R197" i="31"/>
  <c r="S197" i="31" s="1"/>
  <c r="R198" i="31"/>
  <c r="S198" i="31"/>
  <c r="R199" i="31"/>
  <c r="R200" i="31"/>
  <c r="S200" i="31" s="1"/>
  <c r="R201" i="31"/>
  <c r="S201" i="31" s="1"/>
  <c r="R202" i="31"/>
  <c r="S202" i="31"/>
  <c r="R203" i="31"/>
  <c r="R204" i="31"/>
  <c r="S204" i="31" s="1"/>
  <c r="R205" i="31"/>
  <c r="S205" i="31" s="1"/>
  <c r="R206" i="31"/>
  <c r="S206" i="31"/>
  <c r="R207" i="31"/>
  <c r="R208" i="31"/>
  <c r="S208" i="31" s="1"/>
  <c r="R209" i="31"/>
  <c r="S209" i="31" s="1"/>
  <c r="R210" i="31"/>
  <c r="S210" i="31"/>
  <c r="R211" i="31"/>
  <c r="R212" i="31"/>
  <c r="S212" i="31" s="1"/>
  <c r="R213" i="31"/>
  <c r="S213" i="31" s="1"/>
  <c r="R214" i="31"/>
  <c r="S214" i="31"/>
  <c r="R215" i="31"/>
  <c r="R216" i="31"/>
  <c r="S216" i="31" s="1"/>
  <c r="R217" i="31"/>
  <c r="S217" i="31" s="1"/>
  <c r="R218" i="31"/>
  <c r="S218" i="31"/>
  <c r="R219" i="31"/>
  <c r="R220" i="31"/>
  <c r="S220" i="31" s="1"/>
  <c r="R221" i="31"/>
  <c r="S221" i="31" s="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c r="R429" i="31"/>
  <c r="R430" i="31"/>
  <c r="S430" i="31" s="1"/>
  <c r="R431" i="31"/>
  <c r="S431" i="31" s="1"/>
  <c r="R432" i="31"/>
  <c r="S432" i="31"/>
  <c r="R433" i="31"/>
  <c r="R434" i="31"/>
  <c r="S434" i="31" s="1"/>
  <c r="R435" i="31"/>
  <c r="S435" i="31" s="1"/>
  <c r="R436" i="31"/>
  <c r="S436" i="31"/>
  <c r="R437" i="31"/>
  <c r="R438" i="31"/>
  <c r="S438" i="31" s="1"/>
  <c r="R439" i="31"/>
  <c r="S439" i="31" s="1"/>
  <c r="R440" i="31"/>
  <c r="S440" i="31"/>
  <c r="R441" i="31"/>
  <c r="R442" i="31"/>
  <c r="S442" i="31" s="1"/>
  <c r="R443" i="31"/>
  <c r="S443" i="31" s="1"/>
  <c r="R444" i="31"/>
  <c r="S444" i="31"/>
  <c r="R445" i="31"/>
  <c r="R446" i="31"/>
  <c r="S446" i="31" s="1"/>
  <c r="R447" i="31"/>
  <c r="R448" i="31"/>
  <c r="S448" i="31"/>
  <c r="R449" i="31"/>
  <c r="R450" i="31"/>
  <c r="S450" i="31" s="1"/>
  <c r="R451" i="31"/>
  <c r="S451" i="31" s="1"/>
  <c r="R452" i="31"/>
  <c r="S452" i="31"/>
  <c r="R453" i="31"/>
  <c r="R454" i="31"/>
  <c r="S454" i="31" s="1"/>
  <c r="R455" i="31"/>
  <c r="S455" i="31" s="1"/>
  <c r="R456" i="31"/>
  <c r="S456" i="31"/>
  <c r="R457" i="31"/>
  <c r="R458" i="31"/>
  <c r="S458" i="31" s="1"/>
  <c r="R459" i="31"/>
  <c r="S459" i="31" s="1"/>
  <c r="R460" i="31"/>
  <c r="S460" i="31"/>
  <c r="R461" i="31"/>
  <c r="R462" i="31"/>
  <c r="S462" i="31" s="1"/>
  <c r="R463" i="31"/>
  <c r="S463" i="31" s="1"/>
  <c r="R464" i="31"/>
  <c r="S464" i="31"/>
  <c r="R465" i="31"/>
  <c r="R466" i="31"/>
  <c r="S466" i="31" s="1"/>
  <c r="R467" i="31"/>
  <c r="S467" i="31" s="1"/>
  <c r="R468" i="31"/>
  <c r="S468" i="31"/>
  <c r="R469" i="31"/>
  <c r="R470" i="31"/>
  <c r="S470" i="31" s="1"/>
  <c r="R471" i="31"/>
  <c r="S471" i="31" s="1"/>
  <c r="R472" i="31"/>
  <c r="S472" i="3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S493" i="31" s="1"/>
  <c r="R494" i="31"/>
  <c r="R495" i="31"/>
  <c r="S495" i="31" s="1"/>
  <c r="R496" i="31"/>
  <c r="R497" i="31"/>
  <c r="S497" i="31" s="1"/>
  <c r="R498" i="31"/>
  <c r="S498" i="31"/>
  <c r="R499" i="31"/>
  <c r="R500" i="31"/>
  <c r="S500" i="31" s="1"/>
  <c r="R501" i="31"/>
  <c r="R502" i="31"/>
  <c r="S502" i="31"/>
  <c r="R503" i="31"/>
  <c r="R504" i="31"/>
  <c r="S504" i="31" s="1"/>
  <c r="R505" i="31"/>
  <c r="R506" i="31"/>
  <c r="S506" i="31"/>
  <c r="R507" i="31"/>
  <c r="R508" i="31"/>
  <c r="S508" i="31" s="1"/>
  <c r="R509" i="31"/>
  <c r="S509" i="31" s="1"/>
  <c r="R510" i="31"/>
  <c r="S510" i="31"/>
  <c r="R511" i="31"/>
  <c r="R512" i="31"/>
  <c r="S512" i="31" s="1"/>
  <c r="R513" i="31"/>
  <c r="S513" i="31" s="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c r="N3" i="54"/>
  <c r="B42" i="63" s="1"/>
  <c r="A2" i="9"/>
  <c r="D14" i="4"/>
  <c r="M4" i="9"/>
  <c r="L4" i="9"/>
  <c r="A30" i="64" s="1"/>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89" i="31"/>
  <c r="S487" i="31"/>
  <c r="S485" i="31"/>
  <c r="S483" i="31"/>
  <c r="S481" i="31"/>
  <c r="S479" i="31"/>
  <c r="S477" i="31"/>
  <c r="S475" i="31"/>
  <c r="S473" i="31"/>
  <c r="S469" i="31"/>
  <c r="S441" i="31"/>
  <c r="S437" i="31"/>
  <c r="S433" i="31"/>
  <c r="S121" i="31"/>
  <c r="S119" i="31"/>
  <c r="S117" i="31"/>
  <c r="S115" i="31"/>
  <c r="S113" i="31"/>
  <c r="S465" i="31"/>
  <c r="S461" i="31"/>
  <c r="S457" i="31"/>
  <c r="S453" i="31"/>
  <c r="S53" i="31"/>
  <c r="S51" i="31"/>
  <c r="S49" i="31"/>
  <c r="S47" i="31"/>
  <c r="S45" i="31"/>
  <c r="S43" i="31"/>
  <c r="S41" i="31"/>
  <c r="S39" i="31"/>
  <c r="S37" i="31"/>
  <c r="S35" i="31"/>
  <c r="S33" i="31"/>
  <c r="S75" i="31"/>
  <c r="S71" i="31"/>
  <c r="S67" i="31"/>
  <c r="S63" i="31"/>
  <c r="S59" i="31"/>
  <c r="S55" i="31"/>
  <c r="S24" i="31"/>
  <c r="S97" i="31"/>
  <c r="S95" i="31"/>
  <c r="S93" i="31"/>
  <c r="S91" i="31"/>
  <c r="S89" i="31"/>
  <c r="S87" i="31"/>
  <c r="S85" i="31"/>
  <c r="S83" i="31"/>
  <c r="S81" i="31"/>
  <c r="S79" i="31"/>
  <c r="S31" i="31"/>
  <c r="S99" i="31"/>
  <c r="S103" i="31"/>
  <c r="S107" i="31"/>
  <c r="S111" i="31"/>
  <c r="S445" i="31"/>
  <c r="S447" i="31"/>
  <c r="S449" i="31"/>
  <c r="S507" i="31"/>
  <c r="S51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J41" i="33"/>
  <c r="AC41" i="33" s="1"/>
  <c r="D113" i="33"/>
  <c r="F37" i="33"/>
  <c r="AA37" i="33"/>
  <c r="D111" i="33"/>
  <c r="E111" i="33"/>
  <c r="F111" i="33" s="1"/>
  <c r="G111" i="33"/>
  <c r="H111" i="33" s="1"/>
  <c r="I111" i="33" s="1"/>
  <c r="J111" i="33" s="1"/>
  <c r="K111" i="33"/>
  <c r="L111" i="33" s="1"/>
  <c r="M111" i="33" s="1"/>
  <c r="S515" i="31"/>
  <c r="S517" i="31"/>
  <c r="S519" i="31"/>
  <c r="S521" i="31"/>
  <c r="S523" i="31"/>
  <c r="F41" i="21"/>
  <c r="J41" i="21"/>
  <c r="AC41" i="21"/>
  <c r="H41" i="21"/>
  <c r="U41" i="21"/>
  <c r="D83" i="39"/>
  <c r="E83" i="39"/>
  <c r="F83" i="39" s="1"/>
  <c r="G83" i="39"/>
  <c r="H83" i="39" s="1"/>
  <c r="I83" i="39" s="1"/>
  <c r="J83" i="39" s="1"/>
  <c r="K83" i="39"/>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16" i="39"/>
  <c r="D111" i="39"/>
  <c r="E111" i="39"/>
  <c r="F111" i="39" s="1"/>
  <c r="G111" i="39"/>
  <c r="H111" i="39" s="1"/>
  <c r="I111" i="39" s="1"/>
  <c r="J111" i="39" s="1"/>
  <c r="K111" i="39"/>
  <c r="L111" i="39" s="1"/>
  <c r="M111" i="39" s="1"/>
  <c r="D109" i="39"/>
  <c r="E109" i="39"/>
  <c r="F109" i="39" s="1"/>
  <c r="G109" i="39"/>
  <c r="H109" i="39" s="1"/>
  <c r="I109" i="39" s="1"/>
  <c r="J109" i="39" s="1"/>
  <c r="K109" i="39"/>
  <c r="L109" i="39" s="1"/>
  <c r="M109" i="39" s="1"/>
  <c r="D107" i="39"/>
  <c r="E107" i="39"/>
  <c r="F107" i="39" s="1"/>
  <c r="G107" i="39"/>
  <c r="H107" i="39" s="1"/>
  <c r="I107" i="39" s="1"/>
  <c r="J107" i="39" s="1"/>
  <c r="K107" i="39"/>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AZ532" i="3" s="1"/>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AC33" i="21"/>
  <c r="AA36" i="21"/>
  <c r="S39" i="33"/>
  <c r="F43" i="33"/>
  <c r="AA43" i="33"/>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60" i="3"/>
  <c r="G483" i="3"/>
  <c r="G515" i="3"/>
  <c r="G507" i="3"/>
  <c r="G501" i="3"/>
  <c r="BA15" i="3"/>
  <c r="BL17" i="3"/>
  <c r="BL15" i="3"/>
  <c r="BA14" i="3"/>
  <c r="AZ14" i="3" s="1"/>
  <c r="J57" i="39"/>
  <c r="H13" i="40"/>
  <c r="U13" i="40"/>
  <c r="I4" i="4"/>
  <c r="K141" i="21"/>
  <c r="K143" i="21"/>
  <c r="K144" i="21"/>
  <c r="I59" i="40"/>
  <c r="C59"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A43" i="21"/>
  <c r="U43" i="21"/>
  <c r="AA13" i="40"/>
  <c r="E78" i="40"/>
  <c r="F78" i="40"/>
  <c r="G78" i="40" s="1"/>
  <c r="H78" i="40" s="1"/>
  <c r="I78" i="40" s="1"/>
  <c r="J78" i="40" s="1"/>
  <c r="K78" i="40" s="1"/>
  <c r="L78" i="40" s="1"/>
  <c r="M78" i="40" s="1"/>
  <c r="R16" i="4"/>
  <c r="P16" i="4"/>
  <c r="D3" i="35"/>
  <c r="G4" i="4"/>
  <c r="S37" i="34"/>
  <c r="J16" i="35"/>
  <c r="W16" i="35"/>
  <c r="U42" i="21"/>
  <c r="AC26" i="36"/>
  <c r="W25" i="35"/>
  <c r="AZ300" i="3"/>
  <c r="AZ322" i="3"/>
  <c r="H13" i="39"/>
  <c r="AB13" i="39"/>
  <c r="F13" i="39"/>
  <c r="J13" i="39"/>
  <c r="AC13" i="39" s="1"/>
  <c r="AA36" i="35"/>
  <c r="H11" i="37"/>
  <c r="AB11" i="37"/>
  <c r="W37" i="37"/>
  <c r="AA30" i="33"/>
  <c r="AA36" i="37"/>
  <c r="S42" i="33"/>
  <c r="U32" i="33"/>
  <c r="AB17" i="37"/>
  <c r="AZ508" i="3"/>
  <c r="AC29" i="33"/>
  <c r="AA45" i="33"/>
  <c r="AC11" i="36"/>
  <c r="AC10" i="36"/>
  <c r="AB45" i="34"/>
  <c r="AC14" i="37"/>
  <c r="AB35" i="35"/>
  <c r="S25" i="35"/>
  <c r="W44" i="33"/>
  <c r="AC30" i="33"/>
  <c r="AC29" i="37"/>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6" i="46"/>
  <c r="N2"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s="1"/>
  <c r="AB14" i="40"/>
  <c r="W40" i="40"/>
  <c r="AC14" i="40"/>
  <c r="W35" i="40"/>
  <c r="S33" i="40"/>
  <c r="AB32" i="40"/>
  <c r="AC47" i="39"/>
  <c r="AB25" i="39"/>
  <c r="U37" i="34"/>
  <c r="AB37" i="34"/>
  <c r="W41" i="40"/>
  <c r="J23" i="40"/>
  <c r="AC23" i="40" s="1"/>
  <c r="F23" i="40"/>
  <c r="S23" i="40"/>
  <c r="AC15" i="40"/>
  <c r="W15" i="40"/>
  <c r="W27" i="39"/>
  <c r="S23" i="39"/>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c r="AB21" i="39"/>
  <c r="U21" i="39"/>
  <c r="AB17" i="39"/>
  <c r="AB33" i="36"/>
  <c r="AA11" i="36"/>
  <c r="AA14" i="35"/>
  <c r="G99" i="37"/>
  <c r="H99" i="37" s="1"/>
  <c r="I99" i="37" s="1"/>
  <c r="J99" i="37" s="1"/>
  <c r="K99" i="37" s="1"/>
  <c r="L99" i="37" s="1"/>
  <c r="M99" i="37" s="1"/>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W15" i="39"/>
  <c r="J37" i="34"/>
  <c r="AC37" i="34"/>
  <c r="J36" i="33"/>
  <c r="W36" i="33"/>
  <c r="AB23" i="40"/>
  <c r="U27" i="39"/>
  <c r="H23" i="39"/>
  <c r="AB23" i="39" s="1"/>
  <c r="J23" i="39"/>
  <c r="AC23" i="39" s="1"/>
  <c r="F97" i="39"/>
  <c r="G97" i="39" s="1"/>
  <c r="S16" i="39"/>
  <c r="AA15" i="34"/>
  <c r="AA34" i="33"/>
  <c r="J34" i="33"/>
  <c r="AC34" i="33"/>
  <c r="U30" i="40"/>
  <c r="AA37" i="39"/>
  <c r="AC39" i="39"/>
  <c r="W39" i="39"/>
  <c r="AA39" i="39"/>
  <c r="U34" i="39"/>
  <c r="AB46" i="39"/>
  <c r="AC33" i="39"/>
  <c r="W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F25" i="40"/>
  <c r="AA25" i="40" s="1"/>
  <c r="J11" i="33"/>
  <c r="W11" i="33" s="1"/>
  <c r="H33" i="37"/>
  <c r="AB33" i="37" s="1"/>
  <c r="W15" i="34"/>
  <c r="U20" i="35"/>
  <c r="AB20" i="35"/>
  <c r="W23" i="40"/>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A18" i="64"/>
  <c r="B74" i="63"/>
  <c r="C53" i="10"/>
  <c r="A25" i="64" s="1"/>
  <c r="A18" i="51"/>
  <c r="B14" i="63" s="1"/>
  <c r="BA16" i="3"/>
  <c r="AZ16" i="3" s="1"/>
  <c r="BA17" i="3"/>
  <c r="AZ17" i="3"/>
  <c r="F3" i="35"/>
  <c r="K1" i="43"/>
  <c r="K1" i="12"/>
  <c r="G1" i="44"/>
  <c r="I4" i="6"/>
  <c r="G3" i="46" s="1"/>
  <c r="AZ15" i="3"/>
  <c r="BK5" i="3"/>
  <c r="BO5" i="3"/>
  <c r="F29" i="6" s="1"/>
  <c r="BP5" i="3"/>
  <c r="BN5" i="3"/>
  <c r="BL18" i="3"/>
  <c r="AZ18" i="3"/>
  <c r="BC5" i="3"/>
  <c r="BD5" i="3"/>
  <c r="BR5" i="3"/>
  <c r="BS5" i="3"/>
  <c r="BQ5" i="3"/>
  <c r="BL16" i="3"/>
  <c r="BM5" i="3"/>
  <c r="BA13" i="3"/>
  <c r="BA5" i="3" s="1"/>
  <c r="G28" i="12"/>
  <c r="G26" i="12"/>
  <c r="D24" i="44"/>
  <c r="D26" i="44"/>
  <c r="G27" i="12"/>
  <c r="N8" i="46"/>
  <c r="F58" i="46" s="1"/>
  <c r="H61" i="46" s="1"/>
  <c r="N1" i="46"/>
  <c r="F69" i="46" s="1"/>
  <c r="F47" i="46"/>
  <c r="H53" i="46" s="1"/>
  <c r="M9" i="46"/>
  <c r="N11" i="46"/>
  <c r="M4" i="46"/>
  <c r="M8" i="46"/>
  <c r="M5" i="46"/>
  <c r="H15" i="48"/>
  <c r="H14" i="48"/>
  <c r="F36" i="46"/>
  <c r="F39" i="46"/>
  <c r="H11" i="48"/>
  <c r="D71" i="46"/>
  <c r="D84" i="46"/>
  <c r="E80" i="46"/>
  <c r="B78" i="46" s="1"/>
  <c r="D69" i="46"/>
  <c r="E69" i="46" s="1"/>
  <c r="B67" i="46" s="1"/>
  <c r="E47" i="46"/>
  <c r="E58" i="46"/>
  <c r="B56" i="46" s="1"/>
  <c r="A4" i="64"/>
  <c r="A4" i="51"/>
  <c r="B6" i="63" s="1"/>
  <c r="C51" i="10"/>
  <c r="I100" i="46"/>
  <c r="C24" i="46"/>
  <c r="N100" i="46"/>
  <c r="H100" i="46"/>
  <c r="F108" i="46"/>
  <c r="B45"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K10" i="1"/>
  <c r="M10" i="1" s="1"/>
  <c r="O10" i="1" s="1"/>
  <c r="P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AB23" i="34"/>
  <c r="AA23" i="34"/>
  <c r="S23" i="34"/>
  <c r="AC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B20" i="31"/>
  <c r="R22" i="31"/>
  <c r="B21" i="31" s="1"/>
  <c r="E5" i="6"/>
  <c r="D12" i="11" s="1"/>
  <c r="C12" i="11" s="1"/>
  <c r="AT6" i="3"/>
  <c r="G29" i="6"/>
  <c r="A9" i="64"/>
  <c r="A9" i="51"/>
  <c r="B9" i="63" s="1"/>
  <c r="A3" i="55"/>
  <c r="B56" i="63" s="1"/>
  <c r="E4" i="4"/>
  <c r="B21" i="55" s="1"/>
  <c r="B72" i="63" s="1"/>
  <c r="C4" i="4"/>
  <c r="G66" i="36"/>
  <c r="J18" i="36"/>
  <c r="AE8" i="1"/>
  <c r="AE7" i="1"/>
  <c r="AE6" i="1"/>
  <c r="W18" i="36"/>
  <c r="AC18" i="36"/>
  <c r="AG6" i="1"/>
  <c r="L20" i="6"/>
  <c r="B20" i="55"/>
  <c r="B70"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J17" i="46"/>
  <c r="F34" i="46"/>
  <c r="F37" i="46"/>
  <c r="D20" i="59"/>
  <c r="C19" i="59"/>
  <c r="D19" i="59"/>
  <c r="F20" i="59"/>
  <c r="F19" i="59" s="1"/>
  <c r="F18" i="59" s="1"/>
  <c r="F17" i="59" s="1"/>
  <c r="H1" i="65"/>
  <c r="X7" i="46"/>
  <c r="N17" i="46"/>
  <c r="M17" i="46"/>
  <c r="D46" i="36"/>
  <c r="E46" i="36" s="1"/>
  <c r="F46" i="36" s="1"/>
  <c r="G46" i="36" s="1"/>
  <c r="H46" i="36" s="1"/>
  <c r="I17" i="46"/>
  <c r="D100" i="46"/>
  <c r="AF12" i="46"/>
  <c r="K100" i="46"/>
  <c r="AB12" i="46"/>
  <c r="AJ12" i="46"/>
  <c r="E10" i="46"/>
  <c r="E9" i="46"/>
  <c r="E11" i="46"/>
  <c r="E8" i="46"/>
  <c r="H55" i="46"/>
  <c r="AD12" i="46"/>
  <c r="AH12" i="46"/>
  <c r="C18" i="59"/>
  <c r="C17" i="59" s="1"/>
  <c r="B18" i="59"/>
  <c r="B17" i="59" s="1"/>
  <c r="D18" i="59"/>
  <c r="C7" i="46"/>
  <c r="F12" i="67"/>
  <c r="F13" i="15"/>
  <c r="M27" i="15"/>
  <c r="E9" i="67"/>
  <c r="J15" i="15"/>
  <c r="N7" i="65"/>
  <c r="N5" i="65"/>
  <c r="F8" i="67"/>
  <c r="J4" i="65"/>
  <c r="E12" i="67"/>
  <c r="F10" i="67"/>
  <c r="L48" i="15"/>
  <c r="F9" i="15"/>
  <c r="F36" i="15"/>
  <c r="F6" i="15"/>
  <c r="L47" i="15"/>
  <c r="F14" i="67"/>
  <c r="J36" i="15"/>
  <c r="N6" i="65"/>
  <c r="D19" i="9"/>
  <c r="M26" i="15"/>
  <c r="C21" i="9"/>
  <c r="M29" i="15"/>
  <c r="J5" i="65"/>
  <c r="I4" i="65"/>
  <c r="M22" i="15"/>
  <c r="F43" i="15"/>
  <c r="F41" i="15"/>
  <c r="E8" i="67"/>
  <c r="M24" i="15"/>
  <c r="B14" i="67"/>
  <c r="B8" i="67"/>
  <c r="I6" i="65"/>
  <c r="J3" i="65"/>
  <c r="F9" i="67"/>
  <c r="M23" i="15"/>
  <c r="F18" i="44"/>
  <c r="M8" i="44"/>
  <c r="J6" i="65"/>
  <c r="B9" i="67"/>
  <c r="M28" i="15"/>
  <c r="F40" i="44"/>
  <c r="F38" i="44"/>
  <c r="M8" i="15"/>
  <c r="D20" i="9"/>
  <c r="J7" i="65"/>
  <c r="F26" i="15"/>
  <c r="N3" i="65"/>
  <c r="E11" i="67"/>
  <c r="C19" i="9"/>
  <c r="M9" i="15"/>
  <c r="N4" i="65"/>
  <c r="M6" i="15"/>
  <c r="D21" i="9"/>
  <c r="F9" i="44"/>
  <c r="B10" i="67"/>
  <c r="I7" i="65"/>
  <c r="B13" i="67"/>
  <c r="F45" i="44"/>
  <c r="F11" i="67"/>
  <c r="E14" i="67"/>
  <c r="F28" i="44"/>
  <c r="M11" i="44"/>
  <c r="M26" i="44"/>
  <c r="B11" i="67"/>
  <c r="F13" i="67"/>
  <c r="I3" i="65"/>
  <c r="E10" i="67"/>
  <c r="B12" i="67"/>
  <c r="F42" i="15"/>
  <c r="F40" i="15"/>
  <c r="F37" i="15"/>
  <c r="C20" i="9"/>
  <c r="F15" i="44"/>
  <c r="I5" i="65"/>
  <c r="F38" i="15"/>
  <c r="M30" i="44"/>
  <c r="F8" i="15"/>
  <c r="J17" i="44"/>
  <c r="F7" i="15"/>
  <c r="F10" i="44"/>
  <c r="E13" i="67"/>
  <c r="F16" i="15"/>
  <c r="M25" i="44"/>
  <c r="H52" i="46" l="1"/>
  <c r="H50" i="46"/>
  <c r="H49" i="46"/>
  <c r="E20" i="70"/>
  <c r="E20" i="69"/>
  <c r="H47" i="46"/>
  <c r="H54" i="46"/>
  <c r="H60" i="46"/>
  <c r="H64" i="46"/>
  <c r="H48" i="46"/>
  <c r="H51" i="46"/>
  <c r="H82" i="46"/>
  <c r="H83" i="46"/>
  <c r="H87" i="46"/>
  <c r="H65" i="46"/>
  <c r="H85" i="46"/>
  <c r="H10" i="48"/>
  <c r="H86" i="46"/>
  <c r="H84" i="46"/>
  <c r="H80" i="46"/>
  <c r="H13" i="48"/>
  <c r="H5" i="48"/>
  <c r="H6" i="48"/>
  <c r="M3" i="46"/>
  <c r="M12" i="46"/>
  <c r="N9" i="46"/>
  <c r="M2" i="46"/>
  <c r="N4" i="46"/>
  <c r="N10" i="46"/>
  <c r="N3" i="46"/>
  <c r="M7" i="46"/>
  <c r="N7" i="46"/>
  <c r="N5" i="46"/>
  <c r="M10" i="46"/>
  <c r="M1" i="46"/>
  <c r="H8" i="48"/>
  <c r="H16" i="48"/>
  <c r="H7" i="48"/>
  <c r="H59" i="46"/>
  <c r="H62" i="46"/>
  <c r="H66" i="46"/>
  <c r="H63" i="46"/>
  <c r="F35" i="46"/>
  <c r="L17" i="46"/>
  <c r="O17" i="46"/>
  <c r="E17" i="46"/>
  <c r="H113" i="46"/>
  <c r="F38" i="46"/>
  <c r="C17" i="46"/>
  <c r="H58" i="46"/>
  <c r="D17" i="46"/>
  <c r="K17" i="46"/>
  <c r="C6" i="46"/>
  <c r="AZ482" i="3"/>
  <c r="AZ484" i="3"/>
  <c r="AC31" i="39"/>
  <c r="F30" i="6"/>
  <c r="H5" i="3"/>
  <c r="E29" i="6"/>
  <c r="K15" i="1" s="1"/>
  <c r="M83" i="9"/>
  <c r="N83" i="9" s="1"/>
  <c r="N89" i="9" s="1"/>
  <c r="O89" i="9" s="1"/>
  <c r="M85" i="9"/>
  <c r="N85" i="9" s="1"/>
  <c r="M87" i="9"/>
  <c r="N87" i="9" s="1"/>
  <c r="M88" i="9"/>
  <c r="N88" i="9" s="1"/>
  <c r="M84" i="9"/>
  <c r="N84" i="9" s="1"/>
  <c r="O39" i="9"/>
  <c r="R6" i="54" s="1"/>
  <c r="B50" i="63" s="1"/>
  <c r="A17" i="51"/>
  <c r="B13" i="63" s="1"/>
  <c r="U17" i="40"/>
  <c r="W37" i="40"/>
  <c r="S25" i="40"/>
  <c r="AB10" i="33"/>
  <c r="AC35" i="33"/>
  <c r="U15" i="34"/>
  <c r="U11" i="34"/>
  <c r="W17" i="34"/>
  <c r="U22" i="35"/>
  <c r="AC13" i="40"/>
  <c r="AB44" i="39"/>
  <c r="AB29" i="39"/>
  <c r="W29" i="35"/>
  <c r="AA41" i="33"/>
  <c r="S41" i="40"/>
  <c r="U47" i="39"/>
  <c r="AA29" i="35"/>
  <c r="AB16" i="39"/>
  <c r="U41" i="40"/>
  <c r="S47" i="39"/>
  <c r="AB15" i="37"/>
  <c r="U12" i="37"/>
  <c r="AA23" i="37"/>
  <c r="U19" i="21"/>
  <c r="AC23" i="37"/>
  <c r="AC28" i="33"/>
  <c r="W42" i="21"/>
  <c r="AB30" i="21"/>
  <c r="U30" i="33"/>
  <c r="S22" i="35"/>
  <c r="U9" i="21"/>
  <c r="E8" i="6"/>
  <c r="BT5" i="3"/>
  <c r="G28" i="6" s="1"/>
  <c r="BI5" i="3"/>
  <c r="BG5" i="3"/>
  <c r="E12" i="6" s="1"/>
  <c r="J9" i="33"/>
  <c r="H9" i="33"/>
  <c r="F9" i="33"/>
  <c r="F9" i="36"/>
  <c r="H9" i="36"/>
  <c r="H24" i="36"/>
  <c r="AB10" i="39"/>
  <c r="U10" i="39"/>
  <c r="G569" i="3"/>
  <c r="G564" i="3"/>
  <c r="G535" i="3"/>
  <c r="G528" i="3"/>
  <c r="G520" i="3"/>
  <c r="G511" i="3"/>
  <c r="G500" i="3"/>
  <c r="G490" i="3"/>
  <c r="G482" i="3"/>
  <c r="B13" i="1"/>
  <c r="E13" i="1" s="1"/>
  <c r="K13" i="1"/>
  <c r="M13" i="1" s="1"/>
  <c r="C83" i="59"/>
  <c r="D83" i="59" s="1"/>
  <c r="D84" i="59"/>
  <c r="X26" i="59"/>
  <c r="B27" i="59"/>
  <c r="B28" i="59" s="1"/>
  <c r="B29" i="59" s="1"/>
  <c r="S29" i="59" s="1"/>
  <c r="X34" i="59"/>
  <c r="B35" i="59"/>
  <c r="B36" i="59" s="1"/>
  <c r="B37" i="59" s="1"/>
  <c r="S37" i="59" s="1"/>
  <c r="E64" i="59"/>
  <c r="P65" i="59"/>
  <c r="U65" i="59"/>
  <c r="T69" i="59"/>
  <c r="C68" i="59"/>
  <c r="D69" i="59"/>
  <c r="U73" i="59"/>
  <c r="E72" i="59"/>
  <c r="E71" i="59" s="1"/>
  <c r="T77" i="59"/>
  <c r="D77" i="59"/>
  <c r="C76" i="59"/>
  <c r="Z10" i="46"/>
  <c r="Z12" i="46"/>
  <c r="AC10" i="46"/>
  <c r="AC12" i="46"/>
  <c r="X3" i="59"/>
  <c r="K145" i="21"/>
  <c r="AZ396" i="3"/>
  <c r="AZ400" i="3"/>
  <c r="AZ409" i="3"/>
  <c r="AZ429" i="3"/>
  <c r="AZ435" i="3"/>
  <c r="AZ448" i="3"/>
  <c r="AZ453" i="3"/>
  <c r="AZ464" i="3"/>
  <c r="AZ468" i="3"/>
  <c r="AZ480" i="3"/>
  <c r="AZ210" i="3"/>
  <c r="AZ214" i="3"/>
  <c r="AZ226" i="3"/>
  <c r="AZ230" i="3"/>
  <c r="AZ242" i="3"/>
  <c r="AZ246" i="3"/>
  <c r="AZ258" i="3"/>
  <c r="AZ262" i="3"/>
  <c r="I21" i="57"/>
  <c r="D1" i="57" s="1"/>
  <c r="E10" i="57" s="1"/>
  <c r="B85" i="46"/>
  <c r="C27" i="40"/>
  <c r="D49" i="59"/>
  <c r="T49" i="59"/>
  <c r="D61" i="59"/>
  <c r="T61" i="59"/>
  <c r="AZ272" i="3"/>
  <c r="AZ277" i="3"/>
  <c r="AZ288" i="3"/>
  <c r="AZ293" i="3"/>
  <c r="AZ296" i="3"/>
  <c r="AZ125" i="3"/>
  <c r="AZ128" i="3"/>
  <c r="AZ141" i="3"/>
  <c r="AZ144" i="3"/>
  <c r="AZ155" i="3"/>
  <c r="AZ168" i="3"/>
  <c r="AZ171" i="3"/>
  <c r="AZ186" i="3"/>
  <c r="AZ194" i="3"/>
  <c r="AZ204" i="3"/>
  <c r="AZ22" i="3"/>
  <c r="AZ26" i="3"/>
  <c r="AZ45" i="3"/>
  <c r="AZ49" i="3"/>
  <c r="AZ52" i="3"/>
  <c r="AZ54" i="3"/>
  <c r="AZ58" i="3"/>
  <c r="AZ76" i="3"/>
  <c r="AZ80" i="3"/>
  <c r="AZ83" i="3"/>
  <c r="AZ104" i="3"/>
  <c r="AZ108" i="3"/>
  <c r="AZ111" i="3"/>
  <c r="R12" i="1"/>
  <c r="K12" i="1"/>
  <c r="M12" i="1" s="1"/>
  <c r="B65" i="46"/>
  <c r="B54" i="46"/>
  <c r="AA27" i="40"/>
  <c r="S27" i="40"/>
  <c r="AA21" i="34"/>
  <c r="S21" i="34"/>
  <c r="AA18" i="35"/>
  <c r="S18" i="35"/>
  <c r="A26" i="51"/>
  <c r="B19" i="63" s="1"/>
  <c r="A26" i="64"/>
  <c r="G8" i="1"/>
  <c r="G11" i="1"/>
  <c r="C28" i="59"/>
  <c r="D27" i="59"/>
  <c r="X30" i="59"/>
  <c r="X31" i="59"/>
  <c r="X32" i="59"/>
  <c r="X33" i="59"/>
  <c r="Y5" i="59"/>
  <c r="Z5" i="59" s="1"/>
  <c r="AB5" i="59"/>
  <c r="C44" i="59"/>
  <c r="D44" i="59" s="1"/>
  <c r="D43" i="59"/>
  <c r="T65" i="59"/>
  <c r="D65" i="59"/>
  <c r="U69" i="59"/>
  <c r="E68" i="59"/>
  <c r="E67" i="59" s="1"/>
  <c r="U77" i="59"/>
  <c r="E76" i="59"/>
  <c r="E75" i="59" s="1"/>
  <c r="D81" i="59"/>
  <c r="C80" i="59"/>
  <c r="S25" i="59"/>
  <c r="B24" i="59"/>
  <c r="B23" i="59" s="1"/>
  <c r="E18" i="59"/>
  <c r="E17" i="59" s="1"/>
  <c r="AA27" i="59"/>
  <c r="Y30" i="59"/>
  <c r="Z30" i="59" s="1"/>
  <c r="AB30" i="59"/>
  <c r="Y31" i="59"/>
  <c r="Z31" i="59" s="1"/>
  <c r="X5" i="59"/>
  <c r="AA5" i="59"/>
  <c r="A28" i="64"/>
  <c r="F16" i="59"/>
  <c r="F15" i="59" s="1"/>
  <c r="F14" i="59" s="1"/>
  <c r="F13" i="59" s="1"/>
  <c r="V17" i="59"/>
  <c r="C16" i="59"/>
  <c r="T17" i="59"/>
  <c r="D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F27" i="6"/>
  <c r="E53" i="40"/>
  <c r="E27" i="6"/>
  <c r="AP7" i="1"/>
  <c r="AP16" i="1" s="1"/>
  <c r="F22" i="11" s="1"/>
  <c r="G9" i="1"/>
  <c r="G10" i="1"/>
  <c r="K17" i="4"/>
  <c r="A22" i="51" s="1"/>
  <c r="B16" i="63" s="1"/>
  <c r="Q16" i="1"/>
  <c r="F21" i="43" s="1"/>
  <c r="C6" i="43"/>
  <c r="D70" i="39"/>
  <c r="C72" i="39"/>
  <c r="C67" i="40"/>
  <c r="D65" i="40"/>
  <c r="F31" i="6"/>
  <c r="Y11" i="46"/>
  <c r="Y13" i="46" s="1"/>
  <c r="G22" i="46"/>
  <c r="F101" i="46"/>
  <c r="F104" i="46" s="1"/>
  <c r="M101" i="46"/>
  <c r="M107" i="46" s="1"/>
  <c r="AC11" i="46"/>
  <c r="AC13" i="46" s="1"/>
  <c r="AJ11" i="46"/>
  <c r="AJ13" i="46" s="1"/>
  <c r="C101" i="46"/>
  <c r="C105" i="46" s="1"/>
  <c r="J101" i="46"/>
  <c r="N104" i="45"/>
  <c r="F22" i="46"/>
  <c r="D22" i="46" s="1"/>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AH11" i="46"/>
  <c r="AH13" i="46" s="1"/>
  <c r="AI11" i="46"/>
  <c r="AI13" i="46" s="1"/>
  <c r="AE11" i="46"/>
  <c r="AE13" i="46" s="1"/>
  <c r="AB11" i="46"/>
  <c r="AB13" i="46" s="1"/>
  <c r="H16" i="1"/>
  <c r="E15" i="6"/>
  <c r="F105" i="46"/>
  <c r="BL13" i="3"/>
  <c r="L19" i="6"/>
  <c r="L27" i="6" s="1"/>
  <c r="H12" i="48"/>
  <c r="G6" i="1"/>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J109" i="46"/>
  <c r="J105" i="46"/>
  <c r="J104" i="46"/>
  <c r="M104" i="46"/>
  <c r="D21" i="12"/>
  <c r="C21" i="12" s="1"/>
  <c r="O8" i="1"/>
  <c r="P8" i="1" s="1"/>
  <c r="O6" i="1"/>
  <c r="BL5" i="3"/>
  <c r="AZ13" i="3"/>
  <c r="E14" i="6"/>
  <c r="E10" i="6"/>
  <c r="M105" i="46"/>
  <c r="M102" i="46"/>
  <c r="M106" i="46"/>
  <c r="M109" i="46"/>
  <c r="M103" i="46"/>
  <c r="K77" i="9"/>
  <c r="K79" i="9" s="1"/>
  <c r="K81" i="9" s="1"/>
  <c r="E12" i="52"/>
  <c r="B15" i="52"/>
  <c r="F31" i="15"/>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C6" i="15"/>
  <c r="F65" i="15"/>
  <c r="C29" i="44"/>
  <c r="F68" i="15"/>
  <c r="J1" i="65"/>
  <c r="F67" i="15"/>
  <c r="F50" i="15"/>
  <c r="C27" i="15"/>
  <c r="F64" i="15"/>
  <c r="I1" i="65"/>
  <c r="F70" i="15"/>
  <c r="M9" i="44"/>
  <c r="L59" i="15"/>
  <c r="L58" i="15"/>
  <c r="J53" i="15"/>
  <c r="J57" i="15"/>
  <c r="J55" i="15" s="1"/>
  <c r="J58" i="15" s="1"/>
  <c r="Q51" i="15" s="1"/>
  <c r="I54" i="15"/>
  <c r="L56" i="15"/>
  <c r="F49" i="15"/>
  <c r="M7" i="15"/>
  <c r="M17" i="15" s="1"/>
  <c r="Q72" i="15"/>
  <c r="F63" i="15"/>
  <c r="C4" i="65"/>
  <c r="B39" i="1" s="1"/>
  <c r="M24" i="44"/>
  <c r="M28" i="44"/>
  <c r="L49" i="44"/>
  <c r="F39" i="44"/>
  <c r="M29" i="44"/>
  <c r="M10" i="44"/>
  <c r="C16" i="15"/>
  <c r="L48" i="44"/>
  <c r="F43" i="44"/>
  <c r="F11" i="44"/>
  <c r="F8" i="44"/>
  <c r="F46" i="44"/>
  <c r="M31" i="44"/>
  <c r="E3" i="65"/>
  <c r="C18" i="44"/>
  <c r="E2" i="65"/>
  <c r="G17" i="46" l="1"/>
  <c r="C16" i="46" s="1"/>
  <c r="C5" i="46" s="1"/>
  <c r="O28" i="70"/>
  <c r="G20" i="70" s="1"/>
  <c r="M28" i="70"/>
  <c r="P28" i="70"/>
  <c r="N28" i="70"/>
  <c r="O28" i="69"/>
  <c r="M28" i="69"/>
  <c r="G20" i="69" s="1"/>
  <c r="P28" i="69"/>
  <c r="N28" i="69"/>
  <c r="D5" i="46"/>
  <c r="F33" i="44"/>
  <c r="C8" i="44"/>
  <c r="C34" i="44" s="1"/>
  <c r="Q73" i="44"/>
  <c r="L60" i="44"/>
  <c r="Q76" i="44" s="1"/>
  <c r="L59" i="44"/>
  <c r="Q62" i="44" s="1"/>
  <c r="I55" i="44"/>
  <c r="L57" i="44"/>
  <c r="J60" i="44"/>
  <c r="J54" i="44"/>
  <c r="Q54" i="44" s="1"/>
  <c r="J58" i="44"/>
  <c r="J56" i="44" s="1"/>
  <c r="J59" i="44" s="1"/>
  <c r="Q52" i="44" s="1"/>
  <c r="J61" i="44"/>
  <c r="Q50" i="44" s="1"/>
  <c r="E490" i="3"/>
  <c r="E28" i="6"/>
  <c r="G30" i="6"/>
  <c r="G31" i="6" s="1"/>
  <c r="J8" i="44"/>
  <c r="J20" i="44" s="1"/>
  <c r="D80" i="59"/>
  <c r="C79" i="59"/>
  <c r="D79" i="59" s="1"/>
  <c r="O12" i="1"/>
  <c r="P12" i="1" s="1"/>
  <c r="C75" i="59"/>
  <c r="D75" i="59" s="1"/>
  <c r="D76" i="59"/>
  <c r="C67" i="59"/>
  <c r="D67" i="59" s="1"/>
  <c r="D68" i="59"/>
  <c r="P64" i="59"/>
  <c r="E63" i="59"/>
  <c r="E511" i="3"/>
  <c r="E564" i="3"/>
  <c r="AB24" i="36"/>
  <c r="U24" i="36"/>
  <c r="AA9" i="36"/>
  <c r="S9" i="36"/>
  <c r="AB9" i="33"/>
  <c r="U9" i="33"/>
  <c r="G5" i="3"/>
  <c r="B3" i="3" s="1"/>
  <c r="E13" i="6"/>
  <c r="E65" i="39" s="1"/>
  <c r="AZ5" i="3"/>
  <c r="C102" i="46"/>
  <c r="S3" i="46" s="1"/>
  <c r="E11" i="6"/>
  <c r="Z13" i="46"/>
  <c r="E16" i="59"/>
  <c r="E15" i="59" s="1"/>
  <c r="E14" i="59" s="1"/>
  <c r="E13" i="59" s="1"/>
  <c r="U17" i="59"/>
  <c r="D28" i="59"/>
  <c r="C29" i="59"/>
  <c r="O13" i="1"/>
  <c r="P13" i="1"/>
  <c r="E500" i="3"/>
  <c r="E520" i="3"/>
  <c r="E569" i="3"/>
  <c r="AB9" i="36"/>
  <c r="U9" i="36"/>
  <c r="S9" i="33"/>
  <c r="AA9" i="33"/>
  <c r="W9" i="33"/>
  <c r="AC9" i="3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G16" i="1"/>
  <c r="H12" i="39" s="1"/>
  <c r="AB12" i="39" s="1"/>
  <c r="C25" i="43"/>
  <c r="I109" i="46"/>
  <c r="I106" i="46"/>
  <c r="C23" i="46"/>
  <c r="S7" i="46"/>
  <c r="S5" i="46"/>
  <c r="B40" i="1"/>
  <c r="F20" i="43" s="1"/>
  <c r="F33" i="12"/>
  <c r="C34" i="12" s="1"/>
  <c r="D33" i="12" s="1"/>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3" i="6"/>
  <c r="D16" i="43" s="1"/>
  <c r="AY6" i="3"/>
  <c r="P6" i="1"/>
  <c r="E61" i="40"/>
  <c r="E66" i="39"/>
  <c r="M19" i="44"/>
  <c r="C19" i="46"/>
  <c r="F17" i="11"/>
  <c r="Q62" i="15"/>
  <c r="Q75" i="15"/>
  <c r="C32" i="9"/>
  <c r="N43" i="9"/>
  <c r="M13" i="44"/>
  <c r="J12" i="44" s="1"/>
  <c r="F11" i="15"/>
  <c r="M11" i="15"/>
  <c r="J10" i="15" s="1"/>
  <c r="F13" i="44"/>
  <c r="C12" i="44" s="1"/>
  <c r="C48" i="15"/>
  <c r="C32" i="15"/>
  <c r="M28" i="46"/>
  <c r="P28" i="46"/>
  <c r="O28" i="46"/>
  <c r="N28" i="46"/>
  <c r="F1" i="15"/>
  <c r="Q53" i="15"/>
  <c r="Q61" i="15"/>
  <c r="Q74" i="15"/>
  <c r="J6" i="15"/>
  <c r="G20" i="46" l="1"/>
  <c r="E41" i="46" s="1"/>
  <c r="C41" i="46" s="1"/>
  <c r="E41" i="69"/>
  <c r="C41" i="69" s="1"/>
  <c r="C20" i="69"/>
  <c r="F1" i="44"/>
  <c r="Q75" i="44"/>
  <c r="E41" i="70"/>
  <c r="C41" i="70" s="1"/>
  <c r="C20" i="70"/>
  <c r="J7" i="44"/>
  <c r="J28" i="44" s="1"/>
  <c r="J31" i="44" s="1"/>
  <c r="Q63" i="44"/>
  <c r="C7" i="44"/>
  <c r="L47" i="44"/>
  <c r="D29" i="59"/>
  <c r="T29" i="59"/>
  <c r="S6" i="46"/>
  <c r="S4" i="46"/>
  <c r="S2" i="46"/>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117" i="3"/>
  <c r="E282" i="3"/>
  <c r="E231" i="3"/>
  <c r="E375" i="3"/>
  <c r="E470" i="3"/>
  <c r="E409" i="3"/>
  <c r="E349" i="3"/>
  <c r="E83" i="3"/>
  <c r="E186" i="3"/>
  <c r="E124" i="3"/>
  <c r="E311" i="3"/>
  <c r="E222" i="3"/>
  <c r="E263" i="3"/>
  <c r="E388" i="3"/>
  <c r="E424" i="3"/>
  <c r="E430" i="3"/>
  <c r="E82" i="3"/>
  <c r="E146" i="3"/>
  <c r="E164" i="3"/>
  <c r="E77" i="3"/>
  <c r="E99" i="3"/>
  <c r="E434" i="3"/>
  <c r="E262" i="3"/>
  <c r="E552" i="3"/>
  <c r="E101" i="3"/>
  <c r="E57" i="3"/>
  <c r="E60" i="3"/>
  <c r="E455" i="3"/>
  <c r="E136" i="3"/>
  <c r="E568" i="3"/>
  <c r="E85" i="3"/>
  <c r="E539" i="3"/>
  <c r="E332" i="3"/>
  <c r="E245" i="3"/>
  <c r="E139" i="3"/>
  <c r="E52" i="3"/>
  <c r="E445" i="3"/>
  <c r="E451" i="3"/>
  <c r="E556" i="3"/>
  <c r="U6" i="3"/>
  <c r="E258" i="3"/>
  <c r="E207" i="3"/>
  <c r="E479" i="3"/>
  <c r="E449" i="3"/>
  <c r="E73" i="3"/>
  <c r="E365" i="3"/>
  <c r="E126" i="3"/>
  <c r="E248" i="3"/>
  <c r="E211" i="3"/>
  <c r="E336" i="3"/>
  <c r="E308" i="3"/>
  <c r="E526" i="3"/>
  <c r="E466" i="3"/>
  <c r="E65" i="3"/>
  <c r="E51" i="3"/>
  <c r="E513" i="3"/>
  <c r="E198" i="3"/>
  <c r="E134" i="3"/>
  <c r="E242" i="3"/>
  <c r="E281" i="3"/>
  <c r="E133" i="3"/>
  <c r="E239" i="3"/>
  <c r="E87" i="3"/>
  <c r="AF6" i="3"/>
  <c r="E331" i="3"/>
  <c r="E40" i="3"/>
  <c r="E362" i="3"/>
  <c r="E559" i="3"/>
  <c r="E150" i="3"/>
  <c r="E554" i="3"/>
  <c r="E491" i="3"/>
  <c r="E324" i="3"/>
  <c r="E502" i="3"/>
  <c r="K6" i="3"/>
  <c r="E489" i="3"/>
  <c r="E325" i="3"/>
  <c r="E286" i="3"/>
  <c r="E396" i="3"/>
  <c r="E183" i="3"/>
  <c r="E216" i="3"/>
  <c r="E320" i="3"/>
  <c r="E392" i="3"/>
  <c r="E45" i="3"/>
  <c r="E373" i="3"/>
  <c r="E284" i="3"/>
  <c r="E360" i="3"/>
  <c r="E42" i="3"/>
  <c r="T6" i="3"/>
  <c r="E181" i="3"/>
  <c r="E122" i="3"/>
  <c r="E495" i="3"/>
  <c r="E208" i="3"/>
  <c r="E344" i="3"/>
  <c r="E485" i="3"/>
  <c r="E506" i="3"/>
  <c r="E562" i="3"/>
  <c r="E366" i="3"/>
  <c r="E532" i="3"/>
  <c r="E330" i="3"/>
  <c r="E340" i="3"/>
  <c r="E350" i="3"/>
  <c r="E521" i="3"/>
  <c r="E553" i="3"/>
  <c r="E494" i="3"/>
  <c r="E273" i="3"/>
  <c r="E542" i="3"/>
  <c r="E461" i="3"/>
  <c r="E138" i="3"/>
  <c r="E328" i="3"/>
  <c r="E519" i="3"/>
  <c r="E155" i="3"/>
  <c r="E252" i="3"/>
  <c r="E346" i="3"/>
  <c r="E544" i="3"/>
  <c r="E541" i="3"/>
  <c r="E523" i="3"/>
  <c r="E557" i="3"/>
  <c r="E503" i="3"/>
  <c r="E206" i="3"/>
  <c r="E333" i="3"/>
  <c r="E91" i="3"/>
  <c r="E115" i="3"/>
  <c r="E359" i="3"/>
  <c r="E195" i="3"/>
  <c r="E391" i="3"/>
  <c r="AA6" i="3"/>
  <c r="E127" i="3"/>
  <c r="E299" i="3"/>
  <c r="E215" i="3"/>
  <c r="I6" i="3"/>
  <c r="E548" i="3"/>
  <c r="Z6" i="3"/>
  <c r="E62" i="3"/>
  <c r="E389" i="3"/>
  <c r="AK6" i="3"/>
  <c r="E143"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33" i="3"/>
  <c r="E75" i="3"/>
  <c r="Q6" i="3"/>
  <c r="E178" i="3"/>
  <c r="E119" i="3"/>
  <c r="J6" i="3"/>
  <c r="E48" i="3"/>
  <c r="E97" i="3"/>
  <c r="E438" i="3"/>
  <c r="AE6" i="3"/>
  <c r="E289" i="3"/>
  <c r="E363" i="3"/>
  <c r="E113" i="3"/>
  <c r="E79" i="3"/>
  <c r="E425" i="3"/>
  <c r="E401" i="3"/>
  <c r="E257" i="3"/>
  <c r="E272" i="3"/>
  <c r="E166" i="3"/>
  <c r="E102" i="3"/>
  <c r="O6" i="3"/>
  <c r="E25" i="3"/>
  <c r="E204" i="3"/>
  <c r="E291" i="3"/>
  <c r="E305" i="3"/>
  <c r="E527" i="3"/>
  <c r="E43" i="3"/>
  <c r="E196" i="3"/>
  <c r="E276" i="3"/>
  <c r="E259" i="3"/>
  <c r="E370" i="3"/>
  <c r="Y6" i="3"/>
  <c r="AR6" i="3"/>
  <c r="E416" i="3"/>
  <c r="E477" i="3"/>
  <c r="E96" i="3"/>
  <c r="E540" i="3"/>
  <c r="E160" i="3"/>
  <c r="E345" i="3"/>
  <c r="AI6" i="3"/>
  <c r="E72" i="3"/>
  <c r="E290" i="3"/>
  <c r="E440" i="3"/>
  <c r="E234" i="3"/>
  <c r="E458" i="3"/>
  <c r="E128" i="3"/>
  <c r="E29" i="3"/>
  <c r="E176" i="3"/>
  <c r="E256" i="3"/>
  <c r="E228" i="3"/>
  <c r="E314" i="3"/>
  <c r="E525" i="3"/>
  <c r="E319" i="3"/>
  <c r="E334" i="3"/>
  <c r="E456" i="3"/>
  <c r="E353" i="3"/>
  <c r="E50" i="3"/>
  <c r="AJ6" i="3"/>
  <c r="E236" i="3"/>
  <c r="E546" i="3"/>
  <c r="E474" i="3"/>
  <c r="E15" i="3"/>
  <c r="E171" i="3"/>
  <c r="E251" i="3"/>
  <c r="E354" i="3"/>
  <c r="E56" i="3"/>
  <c r="E531" i="3"/>
  <c r="E144" i="3"/>
  <c r="E269" i="3"/>
  <c r="E219" i="3"/>
  <c r="E338" i="3"/>
  <c r="E335" i="3"/>
  <c r="E483" i="3"/>
  <c r="E518" i="3"/>
  <c r="E497" i="3"/>
  <c r="E167" i="3"/>
  <c r="E566" i="3"/>
  <c r="E515" i="3"/>
  <c r="E496" i="3"/>
  <c r="E130" i="3"/>
  <c r="E352" i="3"/>
  <c r="E563" i="3"/>
  <c r="E254" i="3"/>
  <c r="E112" i="3"/>
  <c r="E341" i="3"/>
  <c r="E268" i="3"/>
  <c r="E316" i="3"/>
  <c r="E175" i="3"/>
  <c r="E318" i="3"/>
  <c r="E565" i="3"/>
  <c r="E380" i="3"/>
  <c r="E13" i="3"/>
  <c r="E413" i="3"/>
  <c r="AO6" i="3"/>
  <c r="M6" i="3"/>
  <c r="E475" i="3"/>
  <c r="E241" i="3"/>
  <c r="E421" i="3"/>
  <c r="E69" i="3"/>
  <c r="E446" i="3"/>
  <c r="E132" i="3"/>
  <c r="E152" i="3"/>
  <c r="E437" i="3"/>
  <c r="E46" i="3"/>
  <c r="E221" i="3"/>
  <c r="E457" i="3"/>
  <c r="E31" i="3"/>
  <c r="X6" i="3"/>
  <c r="E321" i="3"/>
  <c r="AD6" i="3"/>
  <c r="AC6" i="3" s="1"/>
  <c r="E266" i="3"/>
  <c r="E327" i="3"/>
  <c r="E103" i="3"/>
  <c r="E200" i="3"/>
  <c r="E454" i="3"/>
  <c r="E230" i="3"/>
  <c r="E571" i="3"/>
  <c r="E570" i="3"/>
  <c r="E561" i="3"/>
  <c r="E23" i="3"/>
  <c r="E443" i="3"/>
  <c r="E265" i="3"/>
  <c r="E194" i="3"/>
  <c r="AM6" i="3"/>
  <c r="E78" i="3"/>
  <c r="E337" i="3"/>
  <c r="E390" i="3"/>
  <c r="E158" i="3"/>
  <c r="E296" i="3"/>
  <c r="E472" i="3"/>
  <c r="E187" i="3"/>
  <c r="E253" i="3"/>
  <c r="E225" i="3"/>
  <c r="E537" i="3"/>
  <c r="E199" i="3"/>
  <c r="E54" i="3"/>
  <c r="E423" i="3"/>
  <c r="E452" i="3"/>
  <c r="E435" i="3"/>
  <c r="E213" i="3"/>
  <c r="E536" i="3"/>
  <c r="E218" i="3"/>
  <c r="E397" i="3"/>
  <c r="E442" i="3"/>
  <c r="E462" i="3"/>
  <c r="E110" i="3"/>
  <c r="E47" i="3"/>
  <c r="E63" i="3"/>
  <c r="E545" i="3"/>
  <c r="E174" i="3"/>
  <c r="E184" i="3"/>
  <c r="E129" i="3"/>
  <c r="E482" i="3"/>
  <c r="E98" i="3"/>
  <c r="E473" i="3"/>
  <c r="E422" i="3"/>
  <c r="N6" i="3"/>
  <c r="E398" i="3"/>
  <c r="E232" i="3"/>
  <c r="E57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H6" i="3" s="1"/>
  <c r="E293" i="3"/>
  <c r="E528" i="3"/>
  <c r="P62" i="59"/>
  <c r="P63" i="59"/>
  <c r="E30" i="6"/>
  <c r="E31" i="6" s="1"/>
  <c r="K14" i="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J12" i="40"/>
  <c r="AC12" i="40" s="1"/>
  <c r="U12" i="39"/>
  <c r="J12" i="39"/>
  <c r="AC12" i="39" s="1"/>
  <c r="H12" i="40"/>
  <c r="U12" i="40" s="1"/>
  <c r="F12" i="39"/>
  <c r="S12" i="39" s="1"/>
  <c r="F12" i="40"/>
  <c r="S12" i="40" s="1"/>
  <c r="AB7" i="37"/>
  <c r="T42" i="37" s="1"/>
  <c r="G42" i="37" s="1"/>
  <c r="G47" i="37" s="1"/>
  <c r="H47" i="37" s="1"/>
  <c r="D20" i="43"/>
  <c r="E72" i="39"/>
  <c r="F70" i="39"/>
  <c r="F65" i="40"/>
  <c r="E67" i="40"/>
  <c r="C115" i="46"/>
  <c r="D113" i="46" s="1"/>
  <c r="W12" i="40"/>
  <c r="AB12" i="40"/>
  <c r="AA12" i="39"/>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C15" i="12"/>
  <c r="W12" i="39"/>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O43" i="9"/>
  <c r="C42" i="9"/>
  <c r="O38" i="9"/>
  <c r="C33" i="9"/>
  <c r="C52" i="15"/>
  <c r="C47" i="15" s="1"/>
  <c r="C10" i="15"/>
  <c r="C5" i="15" s="1"/>
  <c r="F24" i="15"/>
  <c r="C24" i="15" s="1"/>
  <c r="F26" i="12"/>
  <c r="F26" i="44"/>
  <c r="C26" i="44" s="1"/>
  <c r="J26" i="44" l="1"/>
  <c r="C20" i="46"/>
  <c r="C34" i="46" s="1"/>
  <c r="G34" i="46" s="1"/>
  <c r="I34" i="46" s="1"/>
  <c r="C38" i="46"/>
  <c r="G38" i="46" s="1"/>
  <c r="I38" i="46" s="1"/>
  <c r="C39" i="46"/>
  <c r="E39" i="46" s="1"/>
  <c r="C36" i="69"/>
  <c r="C34" i="69"/>
  <c r="T16" i="69"/>
  <c r="V16" i="69" s="1"/>
  <c r="T10" i="69"/>
  <c r="V10" i="69" s="1"/>
  <c r="T12" i="69"/>
  <c r="V12" i="69" s="1"/>
  <c r="T15" i="69"/>
  <c r="V15" i="69" s="1"/>
  <c r="T9" i="69"/>
  <c r="V9" i="69" s="1"/>
  <c r="C37" i="69"/>
  <c r="C35" i="69"/>
  <c r="C33" i="69"/>
  <c r="T11" i="69"/>
  <c r="V11" i="69" s="1"/>
  <c r="T14" i="69"/>
  <c r="V14" i="69" s="1"/>
  <c r="T8" i="69"/>
  <c r="V8" i="69" s="1"/>
  <c r="T13" i="69"/>
  <c r="V13" i="69" s="1"/>
  <c r="T4" i="69"/>
  <c r="V4" i="69" s="1"/>
  <c r="T5" i="69"/>
  <c r="V5" i="69" s="1"/>
  <c r="T2" i="69"/>
  <c r="V2" i="69" s="1"/>
  <c r="T6" i="69"/>
  <c r="V6" i="69" s="1"/>
  <c r="T7" i="69"/>
  <c r="V7" i="69" s="1"/>
  <c r="C29" i="69"/>
  <c r="T3" i="69"/>
  <c r="V3" i="69" s="1"/>
  <c r="C38" i="69"/>
  <c r="C39" i="69"/>
  <c r="C36" i="70"/>
  <c r="C34" i="70"/>
  <c r="T16" i="70"/>
  <c r="V16" i="70" s="1"/>
  <c r="T10" i="70"/>
  <c r="V10" i="70" s="1"/>
  <c r="T12" i="70"/>
  <c r="V12" i="70" s="1"/>
  <c r="T15" i="70"/>
  <c r="V15" i="70" s="1"/>
  <c r="T9" i="70"/>
  <c r="V9" i="70" s="1"/>
  <c r="C37" i="70"/>
  <c r="C35" i="70"/>
  <c r="C33" i="70"/>
  <c r="T11" i="70"/>
  <c r="V11" i="70" s="1"/>
  <c r="T14" i="70"/>
  <c r="V14" i="70" s="1"/>
  <c r="T8" i="70"/>
  <c r="V8" i="70" s="1"/>
  <c r="T13" i="70"/>
  <c r="V13" i="70" s="1"/>
  <c r="T4" i="70"/>
  <c r="V4" i="70" s="1"/>
  <c r="T5" i="70"/>
  <c r="V5" i="70" s="1"/>
  <c r="T2" i="70"/>
  <c r="V2" i="70" s="1"/>
  <c r="T6" i="70"/>
  <c r="V6" i="70" s="1"/>
  <c r="T7" i="70"/>
  <c r="V7" i="70" s="1"/>
  <c r="C29" i="70"/>
  <c r="T3" i="70"/>
  <c r="V3" i="70" s="1"/>
  <c r="C38" i="70"/>
  <c r="C39" i="70"/>
  <c r="S6" i="1"/>
  <c r="M19" i="6"/>
  <c r="K27" i="6"/>
  <c r="M14" i="1"/>
  <c r="K16" i="1"/>
  <c r="C11" i="11" s="1"/>
  <c r="C10" i="11" s="1"/>
  <c r="C35" i="46"/>
  <c r="G35" i="46" s="1"/>
  <c r="I35" i="46" s="1"/>
  <c r="J7" i="21"/>
  <c r="W7" i="21" s="1"/>
  <c r="J7" i="33"/>
  <c r="E6" i="3"/>
  <c r="T33" i="59"/>
  <c r="D33" i="59"/>
  <c r="D14" i="59"/>
  <c r="C13" i="59"/>
  <c r="AA12" i="40"/>
  <c r="C34" i="9"/>
  <c r="E42" i="9" s="1"/>
  <c r="P5" i="54" s="1"/>
  <c r="B46" i="63" s="1"/>
  <c r="G70" i="39"/>
  <c r="F72" i="39"/>
  <c r="F67" i="40"/>
  <c r="G65" i="40"/>
  <c r="C29" i="46"/>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14" i="66"/>
  <c r="D63" i="9"/>
  <c r="N68" i="9"/>
  <c r="C27" i="12"/>
  <c r="D26" i="12" s="1"/>
  <c r="C32" i="12" s="1"/>
  <c r="D30" i="12" s="1"/>
  <c r="K26" i="9"/>
  <c r="K25" i="9"/>
  <c r="J26" i="15"/>
  <c r="J29" i="15" s="1"/>
  <c r="J24" i="15"/>
  <c r="C38" i="15"/>
  <c r="Q58" i="44"/>
  <c r="Q67" i="44"/>
  <c r="Q49" i="44"/>
  <c r="Q55" i="44" s="1"/>
  <c r="F7" i="67"/>
  <c r="C17" i="15"/>
  <c r="C19" i="44"/>
  <c r="E34" i="46" l="1"/>
  <c r="T6" i="46"/>
  <c r="V6" i="46" s="1"/>
  <c r="T4" i="46"/>
  <c r="V4" i="46" s="1"/>
  <c r="C30" i="46"/>
  <c r="E30" i="46" s="1"/>
  <c r="T7" i="46"/>
  <c r="V7" i="46" s="1"/>
  <c r="T10" i="46"/>
  <c r="V10" i="46" s="1"/>
  <c r="C36" i="46"/>
  <c r="G36" i="46" s="1"/>
  <c r="I36" i="46" s="1"/>
  <c r="C37" i="46"/>
  <c r="G37" i="46" s="1"/>
  <c r="I37" i="46" s="1"/>
  <c r="T8" i="46"/>
  <c r="V8" i="46" s="1"/>
  <c r="G39" i="46"/>
  <c r="I39" i="46" s="1"/>
  <c r="T14" i="46"/>
  <c r="V14" i="46" s="1"/>
  <c r="C33" i="46"/>
  <c r="E33" i="46" s="1"/>
  <c r="T16" i="46"/>
  <c r="V16" i="46" s="1"/>
  <c r="T5" i="46"/>
  <c r="V5" i="46" s="1"/>
  <c r="T2" i="46"/>
  <c r="V2" i="46" s="1"/>
  <c r="T13" i="46"/>
  <c r="V13" i="46" s="1"/>
  <c r="T12" i="46"/>
  <c r="V12" i="46" s="1"/>
  <c r="E35" i="46"/>
  <c r="T3" i="46"/>
  <c r="V3" i="46" s="1"/>
  <c r="T15" i="46"/>
  <c r="V15" i="46" s="1"/>
  <c r="T9" i="46"/>
  <c r="V9" i="46" s="1"/>
  <c r="T11" i="46"/>
  <c r="V11" i="46" s="1"/>
  <c r="E38" i="69"/>
  <c r="G38" i="69"/>
  <c r="I38" i="69" s="1"/>
  <c r="E29" i="69"/>
  <c r="C30" i="69"/>
  <c r="E30" i="69" s="1"/>
  <c r="E33" i="69"/>
  <c r="G33" i="69"/>
  <c r="I33" i="69" s="1"/>
  <c r="E37" i="69"/>
  <c r="G37" i="69"/>
  <c r="I37" i="69" s="1"/>
  <c r="E34" i="69"/>
  <c r="G34" i="69"/>
  <c r="I34" i="69" s="1"/>
  <c r="E39" i="69"/>
  <c r="G39" i="69"/>
  <c r="I39" i="69" s="1"/>
  <c r="E35" i="69"/>
  <c r="G35" i="69"/>
  <c r="I35" i="69" s="1"/>
  <c r="E36" i="69"/>
  <c r="G36" i="69"/>
  <c r="I36" i="69" s="1"/>
  <c r="E38" i="70"/>
  <c r="G38" i="70"/>
  <c r="I38" i="70" s="1"/>
  <c r="E29" i="70"/>
  <c r="C30" i="70"/>
  <c r="E30" i="70" s="1"/>
  <c r="E33" i="70"/>
  <c r="G33" i="70"/>
  <c r="I33" i="70" s="1"/>
  <c r="E37" i="70"/>
  <c r="G37" i="70"/>
  <c r="I37" i="70" s="1"/>
  <c r="E34" i="70"/>
  <c r="G34" i="70"/>
  <c r="I34" i="70" s="1"/>
  <c r="E39" i="70"/>
  <c r="G39" i="70"/>
  <c r="I39" i="70" s="1"/>
  <c r="E35" i="70"/>
  <c r="G35" i="70"/>
  <c r="I35" i="70" s="1"/>
  <c r="E36" i="70"/>
  <c r="G36" i="70"/>
  <c r="I36" i="70" s="1"/>
  <c r="E36" i="46"/>
  <c r="C18" i="11"/>
  <c r="C17" i="11"/>
  <c r="C19" i="11" s="1"/>
  <c r="C20" i="11" s="1"/>
  <c r="C21" i="11" s="1"/>
  <c r="C22" i="11" s="1"/>
  <c r="C23" i="11" s="1"/>
  <c r="B2" i="11" s="1"/>
  <c r="S16" i="1"/>
  <c r="T8" i="1" s="1"/>
  <c r="O14" i="1"/>
  <c r="O16" i="1" s="1"/>
  <c r="M16" i="1"/>
  <c r="T13" i="1"/>
  <c r="T10" i="1"/>
  <c r="T6" i="1"/>
  <c r="T9" i="1"/>
  <c r="T11" i="1"/>
  <c r="T7" i="1"/>
  <c r="T12" i="1"/>
  <c r="M27" i="6"/>
  <c r="I19" i="6"/>
  <c r="C12" i="59"/>
  <c r="T13" i="59"/>
  <c r="D13" i="59"/>
  <c r="M38" i="9"/>
  <c r="K27" i="9"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C14" i="15"/>
  <c r="C16" i="44"/>
  <c r="B7" i="67"/>
  <c r="E7" i="67"/>
  <c r="E37" i="46" l="1"/>
  <c r="G33" i="46"/>
  <c r="I33" i="46" s="1"/>
  <c r="C27" i="46" s="1"/>
  <c r="C26" i="46"/>
  <c r="B2" i="46" s="1"/>
  <c r="B3" i="46" s="1"/>
  <c r="C26" i="69"/>
  <c r="B2" i="69" s="1"/>
  <c r="B3" i="69" s="1"/>
  <c r="C27" i="69"/>
  <c r="C26" i="70"/>
  <c r="B2" i="70" s="1"/>
  <c r="B3" i="70" s="1"/>
  <c r="C27" i="70"/>
  <c r="C20" i="44"/>
  <c r="C17" i="44"/>
  <c r="C15" i="15"/>
  <c r="C18" i="15"/>
  <c r="C13" i="43"/>
  <c r="L16" i="1"/>
  <c r="N16" i="1"/>
  <c r="F22" i="43" s="1"/>
  <c r="B5" i="11"/>
  <c r="B4" i="11"/>
  <c r="B3" i="11"/>
  <c r="S19" i="6"/>
  <c r="S27" i="6" s="1"/>
  <c r="I27" i="6"/>
  <c r="H19" i="6"/>
  <c r="T16" i="1"/>
  <c r="P14" i="1"/>
  <c r="P16" i="1" s="1"/>
  <c r="C13" i="12"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R6" i="1"/>
  <c r="D31" i="6"/>
  <c r="E3" i="67"/>
  <c r="C97" i="9"/>
  <c r="C98" i="9" s="1"/>
  <c r="E98" i="9" s="1"/>
  <c r="E99" i="9" s="1"/>
  <c r="B2" i="67"/>
  <c r="D4" i="46"/>
  <c r="C113" i="9"/>
  <c r="C114" i="9" s="1"/>
  <c r="E114" i="9" s="1"/>
  <c r="E115" i="9" s="1"/>
  <c r="D5" i="66"/>
  <c r="C5" i="66"/>
  <c r="F35" i="15"/>
  <c r="M21" i="15"/>
  <c r="F37" i="44"/>
  <c r="M23" i="44"/>
  <c r="B4" i="46" l="1"/>
  <c r="D4" i="69"/>
  <c r="B4" i="69"/>
  <c r="D4" i="70"/>
  <c r="B4" i="70"/>
  <c r="C19" i="15"/>
  <c r="C21" i="44"/>
  <c r="C22" i="44" s="1"/>
  <c r="C28" i="44" s="1"/>
  <c r="C20" i="15"/>
  <c r="C17" i="12"/>
  <c r="C14" i="12"/>
  <c r="R19" i="6"/>
  <c r="R27" i="6" s="1"/>
  <c r="H27" i="6"/>
  <c r="C17" i="43"/>
  <c r="C14" i="43"/>
  <c r="D11" i="59"/>
  <c r="C10" i="59"/>
  <c r="J65" i="40"/>
  <c r="I67" i="40"/>
  <c r="J70" i="39"/>
  <c r="I72" i="39"/>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23" i="15" l="1"/>
  <c r="C18" i="12"/>
  <c r="C23" i="12" s="1"/>
  <c r="C35" i="12" s="1"/>
  <c r="C33" i="12" s="1"/>
  <c r="C26" i="15"/>
  <c r="C18" i="43"/>
  <c r="C19" i="43" s="1"/>
  <c r="C25" i="44"/>
  <c r="C31" i="44" s="1"/>
  <c r="C15" i="44" s="1"/>
  <c r="Q72" i="44" s="1"/>
  <c r="C9" i="59"/>
  <c r="D10" i="59"/>
  <c r="K70" i="39"/>
  <c r="J72" i="39"/>
  <c r="K65" i="40"/>
  <c r="J67" i="40"/>
  <c r="Q77" i="9"/>
  <c r="O79" i="9"/>
  <c r="O81" i="9" s="1"/>
  <c r="C29" i="15" l="1"/>
  <c r="Q50" i="15" s="1"/>
  <c r="J21" i="44"/>
  <c r="J19" i="44" s="1"/>
  <c r="C43" i="44"/>
  <c r="C35" i="44"/>
  <c r="C33" i="44" s="1"/>
  <c r="J14" i="15"/>
  <c r="J22" i="15" s="1"/>
  <c r="C38" i="44"/>
  <c r="J16" i="44"/>
  <c r="J15" i="44" s="1"/>
  <c r="J25" i="44" s="1"/>
  <c r="Q51" i="44"/>
  <c r="C39" i="44"/>
  <c r="C21" i="43"/>
  <c r="C20" i="43"/>
  <c r="C28" i="12"/>
  <c r="C26" i="12" s="1"/>
  <c r="C31" i="12" s="1"/>
  <c r="C30" i="12" s="1"/>
  <c r="C36" i="12" s="1"/>
  <c r="B2" i="12" s="1"/>
  <c r="B4" i="12" s="1"/>
  <c r="J24" i="44"/>
  <c r="C8" i="59"/>
  <c r="T9" i="59"/>
  <c r="D9" i="59"/>
  <c r="K67" i="40"/>
  <c r="L65" i="40"/>
  <c r="K72" i="39"/>
  <c r="L70" i="39"/>
  <c r="O80" i="9"/>
  <c r="C33" i="15" l="1"/>
  <c r="C31" i="15" s="1"/>
  <c r="J19" i="15"/>
  <c r="J17" i="15" s="1"/>
  <c r="C56" i="15"/>
  <c r="C63" i="15" s="1"/>
  <c r="J59" i="15"/>
  <c r="J60" i="15" s="1"/>
  <c r="Q49" i="15" s="1"/>
  <c r="C36" i="15"/>
  <c r="C13" i="15"/>
  <c r="C37" i="15" s="1"/>
  <c r="C60" i="15"/>
  <c r="C58" i="15" s="1"/>
  <c r="C32" i="44"/>
  <c r="C42" i="44" s="1"/>
  <c r="C44" i="44" s="1"/>
  <c r="C45" i="44" s="1"/>
  <c r="L52" i="44" s="1"/>
  <c r="L58" i="44" s="1"/>
  <c r="L61" i="44" s="1"/>
  <c r="J13" i="15"/>
  <c r="J23" i="15" s="1"/>
  <c r="C23" i="43"/>
  <c r="C27" i="43" s="1"/>
  <c r="B2" i="43" s="1"/>
  <c r="B5" i="43" s="1"/>
  <c r="B5" i="12"/>
  <c r="B3" i="12"/>
  <c r="J18" i="44"/>
  <c r="J27" i="44" s="1"/>
  <c r="D8" i="59"/>
  <c r="C7" i="59"/>
  <c r="L67" i="40"/>
  <c r="M65" i="40"/>
  <c r="M70" i="39"/>
  <c r="L72" i="39"/>
  <c r="Q69" i="44"/>
  <c r="J16" i="15" l="1"/>
  <c r="J25" i="15" s="1"/>
  <c r="C30" i="15"/>
  <c r="C39" i="15" s="1"/>
  <c r="Q71" i="15"/>
  <c r="J35" i="15"/>
  <c r="C55" i="15"/>
  <c r="C64" i="15" s="1"/>
  <c r="C57" i="15" s="1"/>
  <c r="C66" i="15" s="1"/>
  <c r="C67" i="15" s="1"/>
  <c r="C70" i="15" s="1"/>
  <c r="L46" i="15"/>
  <c r="B2" i="44"/>
  <c r="B3" i="44" s="1"/>
  <c r="J39" i="15"/>
  <c r="J40" i="15" s="1"/>
  <c r="Q71" i="44"/>
  <c r="Q70" i="44" s="1"/>
  <c r="B3" i="43"/>
  <c r="B4" i="43"/>
  <c r="Q70" i="15"/>
  <c r="D7" i="59"/>
  <c r="C6" i="59"/>
  <c r="C5" i="59" s="1"/>
  <c r="D5" i="59" s="1"/>
  <c r="M72" i="39"/>
  <c r="H9" i="39" s="1"/>
  <c r="N70" i="39"/>
  <c r="N72" i="39" s="1"/>
  <c r="F9" i="39"/>
  <c r="N65" i="40"/>
  <c r="N67" i="40" s="1"/>
  <c r="M67" i="40"/>
  <c r="Q68" i="44"/>
  <c r="Q77" i="44" s="1"/>
  <c r="Q59" i="44"/>
  <c r="Q64" i="44" s="1"/>
  <c r="L51" i="15"/>
  <c r="B4" i="44" l="1"/>
  <c r="L57" i="15"/>
  <c r="L60" i="15" s="1"/>
  <c r="Q68" i="15"/>
  <c r="C40" i="15"/>
  <c r="C46" i="15" s="1"/>
  <c r="B5" i="44"/>
  <c r="Q69" i="15"/>
  <c r="H9" i="40"/>
  <c r="U9" i="40" s="1"/>
  <c r="J9" i="39"/>
  <c r="AC9" i="39" s="1"/>
  <c r="V49" i="39" s="1"/>
  <c r="I49" i="39" s="1"/>
  <c r="D6" i="59"/>
  <c r="M20" i="46"/>
  <c r="J9" i="40"/>
  <c r="AC9" i="40" s="1"/>
  <c r="V44" i="40" s="1"/>
  <c r="I44" i="40" s="1"/>
  <c r="AB9" i="40"/>
  <c r="T44" i="40" s="1"/>
  <c r="G44" i="40" s="1"/>
  <c r="G48" i="40" s="1"/>
  <c r="H48" i="40" s="1"/>
  <c r="U9" i="39"/>
  <c r="AB9" i="39"/>
  <c r="T49" i="39" s="1"/>
  <c r="G49" i="39" s="1"/>
  <c r="W9" i="39"/>
  <c r="F9" i="40"/>
  <c r="S9" i="39"/>
  <c r="AA9" i="39"/>
  <c r="R49" i="39" s="1"/>
  <c r="Q57" i="15" l="1"/>
  <c r="Q66" i="15"/>
  <c r="Q48" i="15"/>
  <c r="Q54" i="15" s="1"/>
  <c r="J42" i="15"/>
  <c r="J43" i="15" s="1"/>
  <c r="B2" i="15"/>
  <c r="B3" i="15" s="1"/>
  <c r="C43" i="15"/>
  <c r="Q67" i="15"/>
  <c r="Q58" i="15"/>
  <c r="W9" i="40"/>
  <c r="E49" i="39"/>
  <c r="R50" i="39"/>
  <c r="I53" i="39"/>
  <c r="J53" i="39" s="1"/>
  <c r="G53" i="39"/>
  <c r="H53" i="39" s="1"/>
  <c r="G54" i="39"/>
  <c r="H54" i="39" s="1"/>
  <c r="AA9" i="40"/>
  <c r="R44" i="40" s="1"/>
  <c r="S9" i="40"/>
  <c r="G49" i="40"/>
  <c r="H49" i="40" s="1"/>
  <c r="I48" i="40"/>
  <c r="J48" i="40" s="1"/>
  <c r="Q63" i="15" l="1"/>
  <c r="Q76" i="15"/>
  <c r="R45" i="40"/>
  <c r="E44" i="40"/>
  <c r="E54" i="39"/>
  <c r="F54" i="39" s="1"/>
  <c r="E53" i="39"/>
  <c r="F53" i="39" s="1"/>
  <c r="I54" i="39"/>
  <c r="J54" i="39" s="1"/>
  <c r="C49" i="39"/>
  <c r="C50" i="39"/>
  <c r="B59" i="39" l="1"/>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<sst xmlns="http://schemas.openxmlformats.org/spreadsheetml/2006/main" count="7587" uniqueCount="3137">
  <si>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</si>
  <si>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</si>
  <si>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</si>
  <si>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</si>
  <si>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</si>
  <si>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</si>
  <si>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</si>
  <si>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</si>
  <si>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</si>
  <si>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</si>
  <si>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</si>
  <si>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</si>
  <si>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</si>
  <si>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</si>
  <si>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</si>
  <si>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</si>
  <si>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</si>
  <si>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</si>
  <si>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</si>
  <si>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</si>
  <si>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</si>
  <si>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</si>
  <si>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</si>
  <si>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</si>
  <si>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</si>
  <si>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</si>
  <si>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</si>
  <si>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</si>
  <si>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</si>
  <si>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</si>
  <si>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</si>
  <si>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</si>
  <si>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</si>
  <si>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</si>
  <si>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</si>
  <si>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</si>
  <si>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</si>
  <si>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</si>
  <si>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</si>
  <si>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</si>
  <si>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</si>
  <si>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</si>
  <si>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</si>
  <si>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</si>
  <si>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</si>
  <si>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</si>
  <si>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</si>
  <si>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</si>
  <si>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</si>
  <si>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</si>
  <si>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</si>
  <si>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</si>
  <si>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</si>
  <si>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</si>
  <si>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</si>
  <si>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</si>
  <si>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</si>
  <si>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</si>
  <si>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</si>
  <si>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</si>
  <si>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</si>
  <si>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</si>
  <si>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</si>
  <si>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</si>
  <si>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</si>
  <si>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</si>
  <si>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</si>
  <si>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</si>
  <si>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</si>
  <si>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</si>
  <si>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</si>
  <si>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</si>
  <si>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</si>
  <si>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</si>
  <si>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</si>
  <si>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</si>
  <si>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</si>
  <si>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</si>
  <si>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</si>
  <si>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</si>
  <si>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</si>
  <si>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</si>
  <si>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</si>
  <si>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</si>
  <si>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</si>
  <si>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</si>
  <si>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</si>
  <si>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</si>
  <si>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</si>
  <si>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</si>
  <si>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</si>
  <si>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</si>
  <si>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</si>
  <si>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</si>
  <si>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</si>
  <si>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</si>
  <si>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</si>
  <si>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</si>
  <si>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</si>
  <si>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</si>
  <si>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</si>
  <si>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</si>
  <si>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</si>
  <si>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</si>
  <si>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</si>
  <si>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</si>
  <si>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</si>
  <si>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</si>
  <si>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</si>
  <si>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</si>
  <si>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</si>
  <si>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</si>
  <si>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</si>
  <si>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</si>
  <si>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</si>
  <si>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</si>
  <si>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</si>
  <si>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</si>
  <si>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</si>
  <si>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</si>
  <si>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</si>
  <si>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</si>
  <si>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</si>
  <si>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</si>
  <si>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</si>
  <si>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</si>
  <si>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</si>
  <si>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</si>
  <si>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</si>
  <si>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</si>
  <si>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</si>
  <si>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</si>
  <si>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</si>
  <si>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</si>
  <si>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</si>
  <si>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</si>
  <si>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</si>
  <si>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</si>
  <si>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</si>
  <si>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</si>
  <si>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</si>
  <si>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</si>
  <si>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</si>
  <si>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</si>
  <si>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</si>
  <si>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</si>
  <si>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</si>
  <si>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</si>
  <si>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</si>
  <si>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</si>
  <si>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</si>
  <si>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</si>
  <si>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</si>
  <si>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</si>
  <si>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</si>
  <si>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</si>
  <si>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</si>
  <si>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</si>
  <si>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</si>
  <si>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</si>
  <si>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</si>
  <si>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</si>
  <si>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</si>
  <si>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</si>
  <si>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</si>
  <si>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</si>
  <si>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</si>
  <si>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</si>
  <si>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</si>
  <si>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</si>
  <si>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</si>
  <si>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</si>
  <si>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</si>
  <si>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</si>
  <si>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</si>
  <si>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</si>
  <si>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</si>
  <si>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</si>
  <si>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</si>
  <si>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</si>
  <si>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</si>
  <si>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</si>
  <si>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</si>
  <si>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</si>
  <si>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</si>
  <si>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</si>
  <si>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</si>
  <si>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</si>
  <si>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</si>
  <si>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</si>
  <si>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</si>
  <si>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</si>
  <si>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</si>
  <si>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</si>
  <si>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</si>
  <si>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</si>
  <si>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</si>
  <si>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</si>
  <si>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</si>
  <si>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</si>
  <si>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</si>
  <si>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</si>
  <si>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</si>
  <si>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</si>
  <si>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</si>
  <si>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</si>
  <si>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</si>
  <si>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</si>
  <si>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</si>
  <si>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</si>
  <si>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</si>
  <si>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</si>
  <si>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</si>
  <si>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</si>
  <si>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</si>
  <si>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</si>
  <si>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</si>
  <si>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</si>
  <si>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</si>
  <si>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</si>
  <si>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</si>
  <si>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</si>
  <si>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</si>
  <si>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</si>
  <si>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</si>
  <si>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</si>
  <si>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</si>
  <si>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</si>
  <si>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</si>
  <si>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</si>
  <si>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</si>
  <si>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</si>
  <si>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</si>
  <si>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</si>
  <si>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</si>
  <si>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</si>
  <si>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</si>
  <si>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</si>
  <si>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</si>
  <si>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</si>
  <si>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</si>
  <si>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</si>
  <si>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</si>
  <si>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</si>
  <si>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</si>
  <si>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</si>
  <si>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</si>
  <si>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</si>
  <si>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</si>
  <si>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</si>
  <si>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</si>
  <si>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</si>
  <si>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</si>
  <si>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</si>
  <si>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</si>
  <si>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</si>
  <si>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</si>
  <si>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</si>
  <si>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</si>
  <si>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</si>
  <si>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</si>
  <si>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</si>
  <si>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</si>
  <si>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</si>
  <si>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</si>
  <si>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</si>
  <si>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</si>
  <si>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</si>
  <si>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</si>
  <si>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</si>
  <si>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</si>
  <si>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</si>
  <si>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</si>
  <si>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</si>
  <si>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</si>
  <si>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</si>
  <si>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</si>
  <si>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</si>
  <si>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</si>
  <si>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</si>
  <si>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</si>
  <si>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</si>
  <si>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</si>
  <si>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</si>
  <si>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</si>
  <si>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</si>
  <si>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</si>
  <si>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</si>
  <si>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</si>
  <si>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</si>
  <si>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</si>
  <si>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</si>
  <si>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</si>
  <si>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</si>
  <si>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</si>
  <si>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</si>
  <si>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</si>
  <si>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</si>
  <si>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</si>
  <si>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</si>
  <si>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</si>
  <si>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</si>
  <si>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</si>
  <si>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</si>
  <si>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</si>
  <si>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</si>
  <si>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</si>
  <si>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</si>
  <si>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</si>
  <si>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</si>
  <si>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</si>
  <si>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</si>
  <si>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</si>
  <si>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</si>
  <si>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</si>
  <si>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</si>
  <si>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</si>
  <si>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</si>
  <si>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</si>
  <si>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</si>
  <si>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</si>
  <si>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</si>
  <si>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</si>
  <si>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</si>
  <si>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</si>
  <si>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</si>
  <si>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</si>
  <si>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</si>
  <si>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</si>
  <si>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</si>
  <si>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</si>
  <si>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</si>
  <si>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</si>
  <si>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</si>
  <si>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</si>
  <si>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</si>
  <si>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</si>
  <si>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</si>
  <si>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</si>
  <si>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</si>
  <si>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</si>
  <si>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</si>
  <si>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</si>
  <si>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</si>
  <si>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</si>
  <si>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</si>
  <si>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</si>
  <si>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</si>
  <si>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</si>
  <si>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</si>
  <si>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</si>
  <si>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</si>
  <si>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</si>
  <si>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</si>
  <si>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</si>
  <si>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</si>
  <si>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</si>
  <si>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</si>
  <si>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</si>
  <si>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</si>
  <si>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</si>
  <si>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</si>
  <si>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</si>
  <si>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</si>
  <si>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</si>
  <si>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</si>
  <si>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</si>
  <si>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</si>
  <si>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</si>
  <si>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</si>
  <si>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</si>
  <si>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</si>
  <si>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</si>
  <si>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</si>
  <si>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</si>
  <si>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</si>
  <si>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</si>
  <si>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</si>
  <si>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</si>
  <si>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</si>
  <si>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</si>
  <si>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</si>
  <si>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</si>
  <si>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</si>
  <si>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</si>
  <si>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</si>
  <si>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</si>
  <si>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</si>
  <si>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</si>
  <si>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</si>
  <si>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</si>
  <si>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</si>
  <si>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</si>
  <si>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</si>
  <si>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</si>
  <si>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</si>
  <si>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</si>
  <si>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</si>
  <si>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</si>
  <si>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</si>
  <si>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</si>
  <si>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</si>
  <si>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</si>
  <si>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</si>
  <si>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</si>
  <si>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</si>
  <si>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</si>
  <si>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</si>
  <si>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</si>
  <si>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</si>
  <si>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</si>
  <si>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</si>
  <si>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</si>
  <si>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</si>
  <si>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</si>
  <si>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</si>
  <si>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</si>
  <si>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</si>
  <si>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</si>
  <si>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</si>
  <si>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</si>
  <si>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</si>
  <si>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</si>
  <si>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</si>
  <si>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</si>
  <si>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</si>
  <si>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</si>
  <si>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</si>
  <si>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</si>
  <si>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</si>
  <si>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</si>
  <si>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</si>
  <si>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</si>
  <si>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</si>
  <si>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</si>
  <si>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</si>
  <si>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</si>
  <si>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</si>
  <si>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</si>
  <si>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</si>
  <si>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</si>
  <si>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</si>
  <si>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</si>
  <si>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</si>
  <si>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</si>
  <si>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</si>
  <si>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</si>
  <si>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</si>
  <si>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</si>
  <si>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</si>
  <si>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</si>
  <si>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</si>
  <si>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</si>
  <si>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</si>
  <si>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</si>
  <si>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</si>
  <si>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</si>
  <si>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</si>
  <si>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</si>
  <si>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</si>
  <si>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</si>
  <si>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</si>
  <si>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</si>
  <si>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</si>
  <si>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</si>
  <si>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</si>
  <si>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</si>
  <si>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</si>
  <si>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</si>
  <si>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</si>
  <si>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</si>
  <si>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</si>
  <si>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</si>
  <si>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</si>
  <si>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</si>
  <si>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</si>
  <si>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</si>
  <si>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</si>
  <si>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</si>
  <si>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</si>
  <si>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</si>
  <si>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</si>
  <si>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</si>
  <si>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</si>
  <si>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</si>
  <si>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</si>
  <si>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</si>
  <si>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</si>
  <si>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</si>
  <si>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</si>
  <si>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</si>
  <si>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</si>
  <si>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</si>
  <si>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</si>
  <si>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</si>
  <si>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</si>
  <si>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</si>
  <si>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</si>
  <si>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</si>
  <si>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</si>
  <si>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</si>
  <si>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</si>
  <si>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</si>
  <si>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</si>
  <si>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</si>
  <si>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</si>
  <si>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</si>
  <si>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</si>
  <si>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</si>
  <si>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</si>
  <si>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</si>
  <si>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</si>
  <si>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</si>
  <si>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</si>
  <si>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</si>
  <si>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</si>
  <si>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</si>
  <si>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</si>
  <si>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</si>
  <si>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</si>
  <si>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</si>
  <si>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</si>
  <si>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</si>
  <si>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</si>
  <si>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</si>
  <si>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</si>
  <si>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</si>
  <si>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</si>
  <si>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</si>
  <si>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</si>
  <si>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</si>
  <si>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</si>
  <si>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</si>
  <si>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</si>
  <si>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</si>
  <si>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</si>
  <si>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</si>
  <si>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</si>
  <si>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</si>
  <si>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</si>
  <si>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</si>
  <si>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</si>
  <si>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</si>
  <si>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</si>
  <si>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</si>
  <si>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</si>
  <si>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</si>
  <si>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</si>
  <si>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</si>
  <si>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</si>
  <si>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</si>
  <si>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</si>
  <si>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</si>
  <si>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</si>
  <si>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</si>
  <si>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</si>
  <si>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</si>
  <si>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</si>
  <si>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</si>
  <si>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</si>
  <si>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</si>
  <si>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</si>
  <si>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</si>
  <si>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</si>
  <si>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</si>
  <si>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</si>
  <si>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</si>
  <si>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</si>
  <si>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</si>
  <si>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</si>
  <si>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</si>
  <si>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</si>
  <si>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</si>
  <si>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</si>
  <si>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</si>
  <si>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</si>
  <si>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</si>
  <si>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</si>
  <si>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</si>
  <si>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</si>
  <si>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</si>
  <si>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</si>
  <si>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</si>
  <si>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</si>
  <si>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</si>
  <si>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</si>
  <si>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</si>
  <si>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</si>
  <si>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</si>
  <si>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</si>
  <si>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</si>
  <si>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</si>
  <si>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</si>
  <si>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</si>
  <si>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</si>
  <si>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</si>
  <si>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</si>
  <si>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</si>
  <si>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</si>
  <si>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</si>
  <si>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</si>
  <si>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</si>
  <si>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</si>
  <si>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</si>
  <si>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</si>
  <si>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</si>
  <si>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</si>
  <si>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</si>
  <si>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</si>
  <si>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</si>
  <si>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</si>
  <si>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</si>
  <si>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</si>
  <si>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</si>
  <si>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</si>
  <si>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</si>
  <si>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</si>
  <si>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</si>
  <si>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</si>
  <si>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</si>
  <si>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</si>
  <si>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</si>
  <si>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</si>
  <si>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</si>
  <si>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</si>
  <si>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</si>
  <si>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</si>
  <si>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</si>
  <si>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</si>
  <si>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</si>
  <si>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</si>
  <si>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</si>
  <si>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</si>
  <si>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</si>
  <si>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</si>
  <si>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</si>
  <si>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</si>
  <si>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</si>
  <si>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</si>
  <si>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</si>
  <si>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</si>
  <si>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</si>
  <si>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</si>
  <si>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</si>
  <si>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</si>
  <si>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</si>
  <si>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</si>
  <si>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</si>
  <si>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</si>
  <si>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</si>
  <si>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</si>
  <si>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</si>
  <si>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</si>
  <si>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</si>
  <si>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</si>
  <si>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</si>
  <si>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</si>
  <si>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</si>
  <si>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</si>
  <si>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</si>
  <si>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</si>
  <si>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</si>
  <si>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</si>
  <si>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</si>
  <si>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</si>
  <si>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</si>
  <si>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</si>
  <si>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</si>
  <si>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</si>
  <si>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</si>
  <si>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</si>
  <si>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</si>
  <si>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</si>
  <si>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</si>
  <si>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</si>
  <si>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</si>
  <si>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</si>
  <si>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</si>
  <si>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</si>
  <si>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</si>
  <si>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</si>
  <si>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</si>
  <si>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</si>
  <si>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</si>
  <si>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</si>
  <si>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</si>
  <si>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</si>
  <si>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</si>
  <si>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</si>
  <si>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</si>
  <si>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</si>
  <si>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</si>
  <si>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</si>
  <si>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</si>
  <si>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</si>
  <si>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</si>
  <si>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</si>
  <si>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</si>
  <si>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</si>
  <si>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</si>
  <si>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</si>
  <si>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</si>
  <si>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</si>
  <si>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</si>
  <si>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</si>
  <si>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</si>
  <si>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</si>
  <si>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</si>
  <si>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</si>
  <si>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</si>
  <si>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</si>
  <si>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</si>
  <si>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</si>
  <si>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</si>
  <si>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</si>
  <si>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</si>
  <si>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</si>
  <si>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</si>
  <si>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</si>
  <si>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</si>
  <si>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</si>
  <si>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</si>
  <si>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</si>
  <si>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</si>
  <si>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</si>
  <si>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</si>
  <si>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</si>
  <si>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</si>
  <si>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</si>
  <si>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</si>
  <si>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</si>
  <si>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</si>
  <si>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</si>
  <si>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</si>
  <si>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</si>
  <si>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</si>
  <si>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</si>
  <si>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</si>
  <si>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</si>
  <si>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</si>
  <si>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</si>
  <si>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</si>
  <si>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</si>
  <si>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</si>
  <si>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</si>
  <si>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</si>
  <si>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</si>
  <si>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</si>
  <si>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</si>
  <si>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</si>
  <si>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</si>
  <si>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</si>
  <si>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</si>
  <si>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</si>
  <si>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</si>
  <si>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</si>
  <si>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</si>
  <si>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</si>
  <si>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</si>
  <si>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</si>
  <si>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</si>
  <si>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</si>
  <si>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</si>
  <si>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</si>
  <si>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</si>
  <si>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</si>
  <si>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</si>
  <si>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</si>
  <si>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</si>
  <si>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</si>
  <si>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</si>
  <si>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</si>
  <si>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</si>
  <si>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</si>
  <si>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</si>
  <si>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</si>
  <si>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</si>
  <si>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</si>
  <si>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</si>
  <si>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</si>
  <si>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</si>
  <si>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</si>
  <si>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</si>
  <si>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</si>
  <si>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</si>
  <si>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</si>
  <si>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</si>
  <si>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</si>
  <si>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</si>
  <si>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</si>
  <si>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</si>
  <si>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</si>
  <si>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</si>
  <si>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</si>
  <si>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</si>
  <si>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</si>
  <si>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</si>
  <si>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</si>
  <si>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</si>
  <si>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</si>
  <si>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</si>
  <si>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</si>
  <si>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</si>
  <si>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</si>
  <si>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</si>
  <si>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</si>
  <si>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</si>
  <si>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</si>
  <si>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</si>
  <si>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</si>
  <si>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</si>
  <si>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</si>
  <si>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</si>
  <si>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</si>
  <si>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</si>
  <si>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</si>
  <si>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</si>
  <si>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</si>
  <si>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</si>
  <si>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</si>
  <si>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</si>
  <si>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</si>
  <si>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</si>
  <si>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</si>
  <si>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</si>
  <si>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</si>
  <si>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</si>
  <si>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</si>
  <si>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</si>
  <si>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</si>
  <si>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</si>
  <si>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</si>
  <si>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</si>
  <si>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</si>
  <si>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</si>
  <si>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</si>
  <si>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</si>
  <si>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</si>
  <si>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</si>
  <si>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</si>
  <si>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</si>
  <si>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</si>
  <si>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</si>
  <si>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</si>
  <si>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</si>
  <si>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</si>
  <si>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</si>
  <si>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</si>
  <si>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</si>
  <si>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</si>
  <si>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</si>
  <si>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</si>
  <si>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</si>
  <si>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</si>
  <si>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</si>
  <si>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</si>
  <si>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</si>
  <si>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</si>
  <si>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</si>
  <si>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</si>
  <si>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</si>
  <si>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</si>
  <si>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</si>
  <si>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</si>
  <si>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</si>
  <si>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</si>
  <si>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</si>
  <si>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</si>
  <si>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</si>
  <si>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</si>
  <si>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</si>
  <si>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</si>
  <si>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</si>
  <si>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</si>
  <si>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</si>
  <si>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</si>
  <si>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</si>
  <si>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</si>
  <si>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</si>
  <si>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</si>
  <si>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</si>
  <si>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</si>
  <si>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</si>
  <si>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</si>
  <si>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</si>
  <si>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</si>
  <si>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</si>
  <si>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</si>
  <si>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</si>
  <si>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</si>
  <si>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</si>
  <si>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</si>
  <si>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</si>
  <si>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</si>
  <si>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</si>
  <si>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</si>
  <si>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</si>
  <si>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</si>
  <si>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</si>
  <si>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</si>
  <si>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</si>
  <si>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</si>
  <si>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</si>
  <si>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</si>
  <si>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</si>
  <si>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</si>
  <si>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</si>
  <si>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</si>
  <si>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</si>
  <si>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</si>
  <si>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</si>
  <si>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</si>
  <si>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</si>
  <si>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</si>
  <si>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</si>
  <si>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</si>
  <si>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</si>
  <si>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</si>
  <si>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</si>
  <si>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</si>
  <si>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</si>
  <si>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</si>
  <si>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</si>
  <si>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</si>
  <si>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</si>
  <si>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</si>
  <si>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</si>
  <si>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</si>
  <si>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</si>
  <si>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</si>
  <si>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</si>
  <si>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</si>
  <si>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</si>
  <si>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</si>
  <si>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</si>
  <si>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</si>
  <si>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</si>
  <si>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</si>
  <si>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</si>
  <si>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</si>
  <si>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</si>
  <si>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</si>
  <si>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</si>
  <si>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</si>
  <si>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</si>
  <si>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</si>
  <si>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</si>
  <si>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</si>
  <si>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</si>
  <si>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</si>
  <si>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</si>
  <si>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</si>
  <si>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</si>
  <si>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</si>
  <si>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</si>
  <si>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</si>
  <si>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</si>
  <si>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</si>
  <si>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</si>
  <si>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</si>
  <si>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</si>
  <si>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</si>
  <si>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</si>
  <si>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</si>
  <si>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</si>
  <si>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</si>
  <si>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</si>
  <si>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</si>
  <si>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</si>
  <si>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</si>
  <si>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</si>
  <si>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</si>
  <si>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</si>
  <si>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</si>
  <si>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</si>
  <si>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</si>
  <si>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</si>
  <si>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</si>
  <si>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</si>
  <si>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</si>
  <si>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</si>
  <si>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</si>
  <si>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</si>
  <si>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</si>
  <si>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</si>
  <si>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</si>
  <si>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</si>
  <si>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</si>
  <si>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</si>
  <si>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</si>
  <si>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</si>
  <si>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</si>
  <si>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</si>
  <si>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</si>
  <si>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</si>
  <si>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</si>
  <si>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</si>
  <si>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</si>
  <si>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</si>
  <si>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</si>
  <si>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</si>
  <si>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</si>
  <si>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</si>
  <si>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</si>
  <si>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</si>
  <si>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</si>
  <si>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</si>
  <si>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</si>
  <si>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</si>
  <si>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</si>
  <si>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</si>
  <si>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</si>
  <si>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</si>
  <si>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</si>
  <si>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</si>
  <si>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</si>
  <si>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</si>
  <si>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</si>
  <si>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</si>
  <si>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</si>
  <si>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</si>
  <si>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</si>
  <si>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</si>
  <si>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</si>
  <si>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</si>
  <si>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</si>
  <si>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</si>
  <si>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</si>
  <si>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</si>
  <si>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</si>
  <si>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</si>
  <si>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</si>
  <si>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</si>
  <si>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</si>
  <si>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</si>
  <si>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</si>
  <si>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</si>
  <si>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</si>
  <si>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</si>
  <si>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</si>
  <si>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</si>
  <si>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</si>
  <si>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</si>
  <si>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</si>
  <si>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</si>
  <si>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</si>
  <si>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</si>
  <si>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</si>
  <si>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</si>
  <si>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</si>
  <si>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</si>
  <si>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</si>
  <si>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</si>
  <si>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</si>
  <si>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</si>
  <si>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</si>
  <si>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</si>
  <si>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</si>
  <si>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</si>
  <si>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</si>
  <si>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</si>
  <si>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</si>
  <si>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</si>
  <si>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</si>
  <si>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</si>
  <si>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</si>
  <si>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</si>
  <si>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</si>
  <si>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</si>
  <si>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</si>
  <si>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</si>
  <si>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</si>
  <si>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</si>
  <si>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</si>
  <si>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</si>
  <si>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</si>
  <si>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</si>
  <si>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</si>
  <si>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</si>
  <si>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</si>
  <si>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</si>
  <si>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</si>
  <si>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</si>
  <si>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</si>
  <si>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</si>
  <si>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</si>
  <si>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</si>
  <si>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</si>
  <si>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</si>
  <si>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</si>
  <si>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</si>
  <si>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</si>
  <si>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</si>
  <si>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</si>
  <si>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</si>
  <si>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</si>
  <si>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</si>
  <si>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</si>
  <si>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</si>
  <si>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</si>
  <si>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</si>
  <si>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</si>
  <si>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</si>
  <si>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</si>
  <si>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</si>
  <si>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</si>
  <si>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</si>
  <si>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</si>
  <si>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</si>
  <si>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</si>
  <si>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</si>
  <si>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</si>
  <si>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</si>
  <si>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</si>
  <si>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</si>
  <si>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</si>
  <si>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</si>
  <si>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</si>
  <si>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</si>
  <si>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</si>
  <si>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</si>
  <si>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</si>
  <si>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</si>
  <si>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</si>
  <si>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</si>
  <si>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</si>
  <si>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</si>
  <si>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</si>
  <si>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</si>
  <si>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</si>
  <si>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</si>
  <si>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</si>
  <si>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</si>
  <si>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</si>
  <si>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</si>
  <si>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</si>
  <si>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</si>
  <si>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</si>
  <si>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</si>
  <si>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</si>
  <si>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</si>
  <si>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</si>
  <si>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</si>
  <si>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</si>
  <si>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</si>
  <si>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</si>
  <si>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</si>
  <si>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</si>
  <si>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</si>
  <si>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</si>
  <si>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</si>
  <si>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</si>
  <si>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</si>
  <si>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</si>
  <si>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</si>
  <si>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</si>
  <si>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</si>
  <si>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</si>
  <si>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</si>
  <si>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</si>
  <si>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</si>
  <si>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</si>
  <si>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</si>
  <si>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</si>
  <si>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</si>
  <si>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</si>
  <si>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</si>
  <si>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</si>
  <si>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</si>
  <si>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</si>
  <si>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</si>
  <si>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</si>
  <si>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</si>
  <si>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</si>
  <si>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</si>
  <si>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</si>
  <si>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</si>
  <si>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</si>
  <si>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</si>
  <si>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</si>
  <si>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</si>
  <si>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</si>
  <si>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</si>
  <si>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</si>
  <si>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</si>
  <si>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</si>
  <si>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</si>
  <si>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</si>
  <si>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</si>
  <si>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</si>
  <si>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</si>
  <si>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</si>
  <si>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</si>
  <si>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</si>
  <si>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</si>
  <si>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</si>
  <si>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</si>
  <si>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</si>
  <si>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</si>
  <si>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</si>
  <si>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</si>
  <si>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</si>
  <si>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</si>
  <si>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</si>
  <si>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</si>
  <si>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</si>
  <si>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</si>
  <si>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</si>
  <si>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</si>
  <si>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</si>
  <si>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</si>
  <si>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</si>
  <si>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</si>
  <si>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</si>
  <si>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</si>
  <si>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</si>
  <si>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</si>
  <si>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</si>
  <si>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</si>
  <si>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</si>
  <si>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</si>
  <si>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</si>
  <si>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</si>
  <si>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</si>
  <si>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</si>
  <si>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</si>
  <si>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</si>
  <si>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</si>
  <si>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</si>
  <si>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</si>
  <si>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</si>
  <si>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</si>
  <si>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</si>
  <si>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</si>
  <si>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</si>
  <si>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</si>
  <si>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</si>
  <si>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</si>
  <si>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</si>
  <si>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</si>
  <si>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</si>
  <si>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</si>
  <si>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</si>
  <si>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</si>
  <si>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</si>
  <si>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</si>
  <si>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</si>
  <si>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</si>
  <si>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</si>
  <si>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</si>
  <si>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</si>
  <si>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</si>
  <si>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</si>
  <si>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</si>
  <si>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</si>
  <si>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</si>
  <si>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</si>
  <si>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</si>
  <si>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</si>
  <si>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</si>
  <si>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</si>
  <si>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</si>
  <si>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</si>
  <si>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</si>
  <si>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</si>
  <si>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</si>
  <si>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</si>
  <si>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</si>
  <si>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</si>
  <si>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</si>
  <si>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</si>
  <si>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</si>
  <si>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</si>
  <si>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</si>
  <si>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</si>
  <si>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</si>
  <si>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</si>
  <si>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</si>
  <si>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</si>
  <si>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</si>
  <si>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</si>
  <si>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</si>
  <si>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</si>
  <si>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</si>
  <si>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</si>
  <si>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</si>
  <si>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</si>
  <si>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</si>
  <si>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</si>
  <si>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</si>
  <si>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</si>
  <si>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</si>
  <si>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</si>
  <si>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</si>
  <si>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</si>
  <si>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</si>
  <si>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</si>
  <si>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</si>
  <si>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</si>
  <si>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</si>
  <si>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</si>
  <si>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</si>
  <si>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</si>
  <si>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</si>
  <si>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</si>
  <si>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</si>
  <si>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</si>
  <si>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</si>
  <si>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</si>
  <si>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</si>
  <si>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</si>
  <si>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</si>
  <si>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</si>
  <si>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</si>
  <si>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</si>
  <si>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</si>
  <si>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</si>
  <si>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</si>
  <si>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</si>
  <si>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</si>
  <si>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</si>
  <si>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</si>
  <si>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</si>
  <si>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</si>
  <si>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</si>
  <si>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</si>
  <si>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</si>
  <si>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</si>
  <si>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</si>
  <si>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</si>
  <si>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</si>
  <si>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</si>
  <si>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</si>
  <si>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</si>
  <si>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</si>
  <si>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</si>
  <si>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</si>
  <si>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</si>
  <si>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</si>
  <si>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</si>
  <si>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</si>
  <si>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</si>
  <si>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</si>
  <si>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</si>
  <si>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</si>
  <si>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</si>
  <si>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</si>
  <si>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</si>
  <si>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</si>
  <si>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</si>
  <si>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</si>
  <si>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</si>
  <si>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</si>
  <si>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</si>
  <si>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</si>
  <si>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</si>
  <si>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</si>
  <si>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</si>
  <si>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</si>
  <si>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</si>
  <si>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</si>
  <si>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</si>
  <si>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</si>
  <si>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</si>
  <si>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</si>
  <si>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</si>
  <si>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</si>
  <si>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</si>
  <si>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</si>
  <si>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</si>
  <si>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</si>
  <si>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</si>
  <si>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</si>
  <si>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</si>
  <si>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</si>
  <si>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</si>
  <si>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</si>
  <si>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</si>
  <si>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</si>
  <si>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</si>
  <si>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</si>
  <si>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</si>
  <si>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</si>
  <si>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</si>
  <si>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</si>
  <si>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</si>
  <si>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</si>
  <si>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</si>
  <si>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</si>
  <si>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</si>
  <si>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</si>
  <si>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</si>
  <si>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</si>
  <si>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</si>
  <si>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</si>
  <si>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</si>
  <si>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</si>
  <si>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</si>
  <si>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</si>
  <si>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</si>
  <si>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</si>
  <si>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</si>
  <si>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</si>
  <si>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</si>
  <si>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</si>
  <si>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</si>
  <si>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</si>
  <si>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</si>
  <si>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</si>
  <si>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</si>
  <si>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</si>
  <si>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</si>
  <si>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</si>
  <si>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</si>
  <si>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</si>
  <si>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</si>
  <si>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</si>
  <si>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</si>
  <si>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</si>
  <si>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</si>
  <si>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</si>
  <si>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</si>
  <si>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</si>
  <si>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</si>
  <si>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</si>
  <si>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</si>
  <si>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</si>
  <si>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</si>
  <si>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</si>
  <si>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</si>
  <si>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</si>
  <si>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</si>
  <si>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</si>
  <si>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</si>
  <si>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</si>
  <si>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</si>
  <si>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</si>
  <si>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</si>
  <si>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</si>
  <si>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</si>
  <si>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</si>
  <si>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</si>
  <si>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</si>
  <si>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</si>
  <si>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</si>
  <si>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</si>
  <si>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</si>
  <si>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</si>
  <si>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</si>
  <si>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</si>
  <si>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</si>
  <si>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</si>
  <si>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</si>
  <si>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</si>
  <si>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</si>
  <si>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</si>
  <si>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</si>
  <si>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</si>
  <si>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</si>
  <si>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</si>
  <si>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</si>
  <si>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</si>
  <si>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</si>
  <si>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</si>
  <si>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</si>
  <si>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</si>
  <si>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</si>
  <si>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</si>
  <si>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</si>
  <si>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</si>
  <si>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</si>
  <si>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</si>
  <si>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</si>
  <si>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</si>
  <si>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</si>
  <si>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</si>
  <si>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</si>
  <si>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</si>
  <si>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</si>
  <si>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</si>
  <si>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</si>
  <si>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</si>
  <si>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</si>
  <si>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</si>
  <si>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</si>
  <si>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</si>
  <si>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</si>
  <si>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</si>
  <si>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</si>
  <si>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</si>
  <si>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</si>
  <si>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</si>
  <si>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</si>
  <si>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</si>
  <si>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</si>
  <si>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</si>
  <si>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</si>
  <si>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</si>
  <si>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</si>
  <si>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</si>
  <si>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</si>
  <si>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</si>
  <si>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</si>
  <si>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</si>
  <si>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</si>
  <si>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</si>
  <si>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</si>
  <si>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</si>
  <si>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</si>
  <si>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</si>
  <si>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</si>
  <si>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</si>
  <si>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</si>
  <si>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</si>
  <si>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</si>
  <si>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</si>
  <si>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</si>
  <si>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</si>
  <si>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</si>
  <si>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</si>
  <si>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</si>
  <si>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</si>
  <si>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</si>
  <si>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</si>
  <si>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</si>
  <si>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</si>
  <si>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</si>
  <si>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</si>
  <si>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</si>
  <si>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</si>
  <si>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</si>
  <si>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</si>
  <si>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</si>
  <si>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</si>
  <si>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</si>
  <si>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</si>
  <si>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</si>
  <si>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</si>
  <si>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</si>
  <si>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</si>
  <si>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</si>
  <si>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</si>
  <si>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</si>
  <si>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</si>
  <si>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</si>
  <si>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</si>
  <si>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</si>
  <si>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</si>
  <si>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</si>
  <si>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</si>
  <si>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</si>
  <si>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</si>
  <si>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</si>
  <si>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</si>
  <si>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</si>
  <si>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</si>
  <si>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</si>
  <si>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</si>
  <si>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</si>
  <si>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</si>
  <si>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</si>
  <si>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</si>
  <si>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</si>
  <si>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</si>
  <si>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</si>
  <si>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</si>
  <si>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</si>
  <si>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</si>
  <si>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</si>
  <si>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</si>
  <si>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</si>
  <si>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</si>
  <si>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</si>
  <si>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</si>
  <si>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</si>
  <si>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</si>
  <si>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</si>
  <si>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</si>
  <si>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</si>
  <si>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</si>
  <si>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</si>
  <si>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</si>
  <si>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</si>
  <si>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</si>
  <si>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</si>
  <si>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</si>
  <si>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</si>
  <si>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</si>
  <si>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</si>
  <si>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</si>
  <si>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</si>
  <si>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</si>
  <si>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</si>
  <si>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</si>
  <si>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</si>
  <si>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</si>
  <si>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</si>
  <si>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</si>
  <si>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</si>
  <si>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</si>
  <si>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</si>
  <si>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</si>
  <si>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</si>
  <si>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</si>
  <si>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</si>
  <si>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</si>
  <si>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</si>
  <si>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</si>
  <si>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</si>
  <si>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</si>
  <si>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</si>
  <si>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</si>
  <si>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</si>
  <si>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</si>
  <si>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</si>
  <si>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</si>
  <si>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</si>
  <si>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</si>
  <si>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</si>
  <si>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</si>
  <si>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</si>
  <si>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</si>
  <si>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</si>
  <si>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</si>
  <si>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</si>
  <si>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</si>
  <si>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</si>
  <si>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</si>
  <si>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</si>
  <si>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</si>
  <si>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</si>
  <si>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</si>
  <si>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</si>
  <si>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</si>
  <si>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</si>
  <si>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</si>
  <si>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</si>
  <si>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</si>
  <si>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</si>
  <si>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</si>
  <si>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</si>
  <si>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</si>
  <si>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</si>
  <si>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</si>
  <si>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</si>
  <si>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</si>
  <si>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</si>
  <si>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</si>
  <si>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</si>
  <si>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</si>
  <si>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</si>
  <si>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</si>
  <si>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</si>
  <si>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</si>
  <si>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</si>
  <si>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</si>
  <si>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</si>
  <si>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</si>
  <si>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</si>
  <si>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</si>
  <si>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</si>
  <si>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</si>
  <si>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</si>
  <si>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</si>
  <si>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</si>
  <si>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</si>
  <si>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</si>
  <si>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</si>
  <si>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</si>
  <si>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</si>
  <si>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</si>
  <si>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</si>
  <si>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</si>
  <si>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</si>
  <si>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</si>
  <si>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</si>
  <si>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</si>
  <si>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</si>
  <si>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</si>
  <si>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</si>
  <si>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</si>
  <si>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</si>
  <si>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</si>
  <si>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</si>
  <si>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</si>
  <si>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</si>
  <si>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</si>
  <si>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</si>
  <si>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</si>
  <si>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</si>
  <si>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</si>
  <si>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</si>
  <si>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</si>
  <si>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</si>
  <si>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</si>
  <si>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</si>
  <si>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</si>
  <si>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</si>
  <si>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</si>
  <si>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</si>
  <si>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</si>
  <si>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</si>
  <si>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</si>
  <si>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</si>
  <si>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</si>
  <si>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</si>
  <si>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</si>
  <si>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</si>
  <si>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</si>
  <si>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</si>
  <si>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</si>
  <si>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</si>
  <si>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</si>
  <si>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</si>
  <si>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</si>
  <si>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</si>
  <si>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</si>
  <si>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</si>
  <si>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</si>
  <si>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</si>
  <si>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</si>
  <si>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</si>
  <si>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</si>
  <si>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</si>
  <si>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</si>
  <si>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</si>
  <si>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</si>
  <si>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</si>
  <si>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</si>
  <si>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</si>
  <si>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</si>
  <si>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</si>
  <si>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</si>
  <si>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</si>
  <si>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</si>
  <si>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</si>
  <si>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</si>
  <si>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</si>
  <si>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</si>
  <si>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</si>
  <si>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</si>
  <si>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</si>
  <si>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</si>
  <si>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</si>
  <si>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</si>
  <si>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</si>
  <si>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</si>
  <si>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</si>
  <si>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</si>
  <si>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</si>
  <si>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</si>
  <si>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</si>
  <si>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</si>
  <si>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</si>
  <si>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</si>
  <si>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</si>
  <si>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</si>
  <si>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</si>
  <si>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</si>
  <si>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</si>
  <si>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</si>
  <si>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</si>
  <si>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</si>
  <si>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</si>
  <si>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</si>
  <si>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</si>
  <si>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</si>
  <si>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</si>
  <si>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</si>
  <si>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</si>
  <si>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</si>
  <si>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</si>
  <si>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</si>
  <si>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</si>
  <si>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</si>
  <si>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</si>
  <si>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</si>
  <si>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</si>
  <si>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</si>
  <si>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</si>
  <si>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</si>
  <si>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</si>
  <si>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</si>
  <si>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</si>
  <si>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</si>
  <si>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</si>
  <si>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</si>
  <si>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</si>
  <si>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</si>
  <si>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</si>
  <si>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</si>
  <si>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</si>
  <si>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</si>
  <si>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</si>
  <si>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</si>
  <si>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</si>
  <si>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</si>
  <si>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</si>
  <si>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</si>
  <si>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</si>
  <si>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</si>
  <si>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</si>
  <si>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</si>
  <si>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</si>
  <si>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</si>
  <si>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</si>
  <si>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</si>
  <si>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</si>
  <si>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</si>
  <si>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</si>
  <si>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</si>
  <si>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</si>
  <si>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</si>
  <si>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</si>
  <si>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</si>
  <si>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</si>
  <si>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</si>
  <si>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</si>
  <si>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</si>
  <si>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</si>
  <si>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</si>
  <si>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</si>
  <si>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</si>
  <si>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</si>
  <si>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</si>
  <si>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</si>
  <si>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</si>
  <si>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</si>
  <si>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</si>
  <si>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</si>
  <si>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</si>
  <si>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</si>
  <si>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</si>
  <si>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</si>
  <si>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</si>
  <si>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</si>
  <si>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</si>
  <si>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</si>
  <si>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</si>
  <si>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</si>
  <si>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</si>
  <si>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</si>
  <si>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</si>
  <si>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</si>
  <si>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</si>
  <si>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</si>
  <si>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</si>
  <si>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</si>
  <si>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</si>
  <si>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</si>
  <si>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</si>
  <si>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</si>
  <si>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</si>
  <si>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</si>
  <si>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</si>
  <si>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</si>
  <si>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</si>
  <si>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</si>
  <si>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</si>
  <si>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</si>
  <si>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</si>
  <si>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</si>
  <si>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</si>
  <si>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</si>
  <si>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</si>
  <si>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</si>
  <si>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</si>
  <si>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</si>
  <si>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</si>
  <si>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</si>
  <si>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</si>
  <si>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</si>
  <si>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</si>
  <si>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</si>
  <si>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</si>
  <si>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</si>
  <si>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</si>
  <si>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</si>
  <si>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</si>
  <si>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</si>
  <si>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</si>
  <si>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</si>
  <si>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</si>
  <si>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</si>
  <si>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</si>
  <si>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</si>
  <si>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</si>
  <si>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</si>
  <si>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</si>
  <si>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</si>
  <si>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</si>
  <si>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</si>
  <si>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</si>
  <si>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</si>
  <si>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</si>
  <si>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</si>
  <si>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</si>
  <si>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</si>
  <si>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</si>
  <si>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</si>
  <si>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</si>
  <si>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</si>
  <si>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</si>
  <si>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</si>
  <si>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</si>
  <si>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</si>
  <si>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</si>
  <si>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</si>
  <si>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</si>
  <si>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</si>
  <si>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</si>
  <si>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</si>
  <si>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</si>
  <si>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</si>
  <si>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</si>
  <si>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</si>
  <si>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</si>
  <si>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</si>
  <si>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</si>
  <si>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</si>
  <si>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</si>
  <si>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</si>
  <si>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</si>
  <si>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</si>
  <si>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</si>
  <si>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</si>
  <si>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</si>
  <si>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</si>
  <si>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</si>
  <si>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</si>
  <si>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</si>
  <si>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</si>
  <si>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</si>
  <si>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</si>
  <si>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</si>
  <si>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</si>
  <si>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</si>
  <si>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</si>
  <si>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</si>
  <si>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</si>
  <si>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</si>
  <si>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</si>
  <si>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</si>
  <si>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</si>
  <si>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</si>
  <si>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</si>
  <si>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</si>
  <si>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</si>
  <si>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</si>
  <si>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</si>
  <si>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</si>
  <si>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</si>
  <si>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</si>
  <si>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</si>
  <si>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</si>
  <si>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</si>
  <si>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</si>
  <si>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</si>
  <si>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</si>
  <si>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</si>
  <si>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</si>
  <si>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</si>
  <si>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</si>
  <si>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</si>
  <si>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</si>
  <si>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</si>
  <si>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</si>
  <si>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</si>
  <si>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</si>
  <si>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</si>
  <si>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</si>
  <si>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</si>
  <si>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</si>
  <si>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</si>
  <si>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</si>
  <si>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</si>
  <si>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</si>
  <si>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</si>
  <si>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</si>
  <si>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</si>
  <si>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</si>
  <si>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</si>
  <si>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</si>
  <si>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</si>
  <si>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</si>
  <si>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</si>
  <si>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</si>
  <si>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</si>
  <si>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</si>
  <si>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</si>
  <si>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</si>
  <si>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</si>
  <si>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</si>
  <si>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</si>
  <si>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</si>
  <si>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</si>
  <si>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</si>
  <si>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</si>
  <si>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</si>
  <si>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</si>
  <si>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</si>
  <si>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</si>
  <si>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</si>
  <si>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</si>
  <si>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</si>
  <si>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</si>
  <si>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</si>
  <si>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</si>
  <si>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</si>
  <si>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</si>
  <si>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</si>
  <si>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</si>
  <si>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</si>
  <si>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</si>
  <si>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</si>
  <si>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</si>
  <si>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</si>
  <si>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</si>
  <si>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</si>
  <si>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</si>
  <si>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</si>
  <si>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</si>
  <si>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</si>
  <si>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</si>
  <si>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</si>
  <si>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</si>
  <si>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</si>
  <si>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</si>
  <si>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</si>
  <si>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</si>
  <si>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</si>
  <si>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</si>
  <si>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</si>
  <si>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</si>
  <si>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</si>
  <si>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</si>
  <si>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</si>
  <si>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</si>
  <si>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</si>
  <si>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</si>
  <si>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</si>
  <si>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</si>
  <si>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</si>
  <si>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</si>
  <si>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</si>
  <si>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</si>
  <si>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</si>
  <si>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</si>
  <si>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</si>
  <si>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</si>
  <si>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</si>
  <si>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</si>
  <si>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</si>
  <si>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</si>
  <si>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</si>
  <si>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</si>
  <si>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</si>
  <si>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</si>
  <si>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</si>
  <si>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</si>
  <si>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</si>
  <si>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</si>
  <si>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</si>
  <si>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</si>
  <si>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</si>
  <si>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</si>
  <si>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</si>
  <si>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</si>
  <si>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</si>
  <si>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</si>
  <si>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</si>
  <si>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</si>
  <si>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</si>
  <si>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</si>
  <si>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</si>
  <si>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</si>
  <si>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</si>
  <si>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</si>
  <si>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</si>
  <si>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</si>
  <si>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</si>
  <si>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</si>
  <si>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</si>
  <si>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</si>
  <si>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</si>
  <si>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</si>
  <si>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</si>
  <si>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</si>
  <si>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</si>
  <si>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</si>
  <si>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</si>
  <si>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</si>
  <si>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</si>
  <si>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</si>
  <si>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</si>
  <si>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</si>
  <si>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</si>
  <si>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</si>
  <si>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</si>
  <si>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</si>
  <si>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</si>
  <si>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</si>
  <si>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</si>
  <si>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</si>
  <si>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</si>
  <si>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</si>
  <si>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</si>
  <si>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</si>
  <si>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</si>
  <si>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</si>
  <si>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</si>
  <si>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</si>
  <si>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</si>
  <si>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</si>
  <si>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</si>
  <si>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</si>
  <si>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</si>
  <si>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</si>
  <si>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</si>
  <si>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</si>
  <si>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</si>
  <si>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</si>
  <si>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</si>
  <si>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</si>
  <si>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</si>
  <si>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</si>
  <si>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</si>
  <si>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</si>
  <si>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</si>
  <si>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</si>
  <si>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</si>
  <si>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</si>
  <si>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</si>
  <si>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</si>
  <si>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</si>
  <si>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</si>
  <si>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</si>
  <si>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</si>
  <si>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</si>
  <si>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</si>
  <si>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</si>
  <si>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</si>
  <si>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</si>
  <si>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</si>
  <si>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</si>
  <si>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</si>
  <si>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</si>
  <si>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</si>
  <si>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</si>
  <si>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</si>
  <si>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</si>
  <si>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</si>
  <si>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</si>
  <si>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</si>
  <si>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</si>
  <si>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</si>
  <si>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</si>
  <si>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</si>
  <si>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</si>
  <si>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</si>
  <si>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</si>
  <si>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</si>
  <si>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</si>
  <si>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</si>
  <si>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</si>
  <si>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</si>
  <si>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</si>
  <si>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</si>
  <si>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</si>
  <si>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</si>
  <si>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</si>
  <si>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</si>
  <si>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</si>
  <si>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</si>
  <si>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</si>
  <si>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</si>
  <si>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</si>
  <si>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</si>
  <si>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</si>
  <si>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</si>
  <si>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</si>
  <si>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</si>
  <si>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</si>
  <si>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</si>
  <si>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</si>
  <si>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</si>
  <si>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</si>
  <si>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</si>
  <si>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</si>
  <si>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</si>
  <si>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</si>
  <si>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</si>
  <si>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</si>
  <si>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</si>
  <si>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</si>
  <si>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</si>
  <si>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</si>
  <si>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</si>
  <si>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</si>
  <si>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</si>
  <si>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</si>
  <si>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</si>
  <si>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</si>
  <si>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</si>
  <si>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</si>
  <si>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</si>
  <si>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</si>
  <si>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</si>
  <si>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</si>
  <si>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</si>
  <si>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</si>
  <si>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</si>
  <si>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</si>
  <si>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</si>
  <si>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</si>
  <si>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</si>
  <si>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</si>
  <si>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</si>
  <si>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</si>
  <si>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</si>
  <si>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</si>
  <si>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</si>
  <si>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</si>
  <si>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</si>
  <si>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</si>
  <si>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</si>
  <si>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</si>
  <si>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</si>
  <si>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</si>
  <si>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</si>
  <si>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</si>
  <si>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</si>
  <si>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</si>
  <si>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</si>
  <si>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</si>
  <si>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</si>
  <si>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</si>
  <si>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</si>
  <si>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</si>
  <si>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</si>
  <si>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</si>
  <si>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</si>
  <si>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</si>
  <si>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</si>
  <si>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</si>
  <si>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</si>
  <si>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</si>
  <si>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</si>
  <si>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</si>
  <si>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</si>
  <si>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</si>
  <si>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</si>
  <si>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</si>
  <si>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</si>
  <si>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</si>
  <si>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</si>
  <si>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</si>
  <si>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</si>
  <si>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</si>
  <si>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</si>
  <si>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</si>
  <si>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</si>
  <si>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</si>
  <si>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</si>
  <si>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</si>
  <si>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</si>
  <si>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</si>
  <si>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</si>
  <si>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</si>
  <si>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</si>
  <si>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</si>
  <si>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</si>
  <si>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</si>
  <si>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</si>
  <si>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</si>
  <si>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</si>
  <si>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</si>
  <si>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</si>
  <si>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</si>
  <si>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</si>
  <si>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</si>
  <si>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</si>
  <si>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</si>
  <si>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</si>
  <si>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</si>
  <si>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</si>
  <si>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</si>
  <si>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</si>
  <si>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</si>
  <si>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</si>
  <si>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</si>
  <si>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</si>
  <si>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</si>
  <si>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</si>
  <si>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</si>
  <si>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</si>
  <si>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</si>
  <si>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</si>
  <si>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</si>
  <si>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</si>
  <si>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</si>
  <si>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</si>
  <si>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</si>
  <si>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</si>
  <si>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</si>
  <si>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</si>
  <si>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</si>
  <si>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</si>
  <si>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</si>
  <si>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</si>
  <si>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</si>
  <si>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</si>
  <si>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</si>
  <si>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</si>
  <si>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</si>
  <si>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</si>
  <si>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</si>
  <si>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</si>
  <si>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</si>
  <si>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</si>
  <si>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</si>
  <si>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</si>
  <si>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</si>
  <si>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</si>
  <si>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</si>
  <si>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</si>
  <si>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</si>
  <si>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</si>
  <si>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</si>
  <si>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</si>
  <si>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</si>
  <si>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</si>
  <si>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</si>
  <si>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</si>
  <si>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</si>
  <si>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</si>
  <si>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</si>
  <si>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</si>
  <si>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</si>
  <si>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</si>
  <si>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</si>
  <si>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</si>
  <si>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</si>
  <si>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</si>
  <si>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</si>
  <si>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</si>
  <si>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</si>
  <si>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</si>
  <si>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</si>
  <si>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</si>
  <si>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</si>
  <si>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</si>
  <si>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</si>
  <si>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</si>
  <si>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</si>
  <si>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</si>
  <si>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</si>
  <si>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</si>
  <si>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</si>
  <si>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</si>
  <si>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</si>
  <si>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</si>
  <si>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</si>
  <si>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</si>
  <si>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</si>
  <si>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</si>
  <si>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</si>
  <si>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</si>
  <si>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</si>
  <si>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</si>
  <si>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</si>
  <si>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</si>
  <si>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</si>
  <si>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</si>
  <si>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</si>
  <si>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</si>
  <si>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</si>
  <si>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</si>
  <si>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</si>
  <si>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</si>
  <si>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</si>
  <si>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</si>
  <si>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</si>
  <si>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</si>
  <si>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</si>
  <si>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</si>
  <si>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</si>
  <si>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</si>
  <si>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</si>
  <si>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</si>
  <si>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</si>
  <si>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</si>
  <si>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</si>
  <si>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</si>
  <si>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</si>
  <si>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</si>
  <si>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</si>
  <si>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</si>
  <si>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</si>
  <si>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</si>
  <si>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</si>
  <si>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</si>
  <si>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</si>
  <si>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</si>
  <si>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</si>
  <si>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</si>
  <si>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</si>
  <si>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</si>
  <si>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</si>
  <si>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</si>
  <si>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</si>
  <si>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</si>
  <si>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</si>
  <si>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</si>
  <si>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</si>
  <si>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</si>
  <si>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</si>
  <si>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</si>
  <si>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</si>
  <si>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</si>
  <si>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</si>
  <si>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</si>
  <si>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</si>
  <si>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</si>
  <si>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</si>
  <si>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</si>
  <si>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</si>
  <si>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</si>
  <si>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</si>
  <si>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</si>
  <si>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</si>
  <si>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</si>
  <si>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</si>
  <si>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</si>
  <si>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</si>
  <si>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</si>
  <si>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</si>
  <si>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</si>
  <si>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</si>
  <si>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</si>
  <si>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</si>
  <si>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</si>
  <si>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</si>
  <si>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</si>
  <si>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</si>
  <si>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</si>
  <si>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</si>
  <si>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</si>
  <si>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</si>
  <si>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</si>
  <si>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</si>
  <si>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</si>
  <si>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</si>
  <si>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</si>
  <si>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</si>
  <si>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</si>
  <si>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</si>
  <si>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</si>
  <si>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</si>
  <si>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</si>
  <si>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</si>
  <si>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</si>
  <si>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</si>
  <si>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</si>
  <si>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</si>
  <si>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</si>
  <si>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</si>
  <si>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</si>
  <si>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</si>
  <si>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</si>
  <si>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</si>
  <si>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</si>
  <si>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</si>
  <si>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</si>
  <si>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</si>
  <si>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</si>
  <si>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</si>
  <si>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</si>
  <si>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</si>
  <si>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</si>
  <si>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</si>
  <si>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</si>
  <si>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</si>
  <si>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</si>
  <si>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</si>
  <si>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</si>
  <si>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</si>
  <si>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</si>
  <si>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</si>
  <si>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</si>
  <si>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</si>
  <si>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</si>
  <si>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</si>
  <si>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</si>
  <si>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</si>
  <si>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</si>
  <si>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</si>
  <si>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</si>
  <si>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</si>
  <si>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</si>
  <si>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</si>
  <si>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</si>
  <si>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</si>
  <si>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</si>
  <si>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</si>
  <si>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</si>
  <si>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</si>
  <si>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</si>
  <si>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</si>
  <si>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</si>
  <si>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</si>
  <si>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</si>
  <si>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</si>
  <si>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</si>
  <si>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</si>
  <si>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</si>
  <si>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</si>
  <si>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</si>
  <si>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</si>
  <si>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</si>
  <si>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</si>
  <si>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</si>
  <si>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</si>
  <si>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</si>
  <si>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</si>
  <si>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</si>
  <si>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</si>
  <si>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</si>
  <si>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</si>
  <si>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</si>
  <si>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</si>
  <si>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</si>
  <si>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</si>
  <si>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</si>
  <si>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</si>
  <si>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</si>
  <si>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</si>
  <si>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</si>
  <si>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</si>
  <si>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</si>
  <si>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</si>
  <si>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</si>
  <si>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</si>
  <si>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</si>
  <si>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</si>
  <si>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</si>
  <si>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</si>
  <si>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</si>
  <si>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</si>
  <si>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</si>
  <si>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</si>
  <si>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</si>
  <si>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</si>
  <si>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</si>
  <si>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</si>
  <si>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</si>
  <si>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</si>
  <si>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</si>
  <si>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</si>
  <si>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</si>
  <si>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</si>
  <si>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</si>
  <si>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</si>
  <si>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</si>
  <si>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</si>
  <si>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</si>
  <si>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</si>
  <si>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</si>
  <si>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</si>
  <si>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</si>
  <si>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</si>
  <si>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</si>
  <si>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</si>
  <si>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</si>
  <si>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</si>
  <si>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</si>
  <si>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</si>
  <si>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</si>
  <si>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</si>
  <si>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</si>
  <si>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</si>
  <si>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</si>
  <si>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</si>
  <si>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</si>
  <si>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</si>
  <si>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</si>
  <si>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</si>
  <si>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</si>
  <si>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</si>
  <si>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</si>
  <si>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</si>
  <si>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</si>
  <si>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</si>
  <si>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</si>
  <si>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</si>
  <si>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</si>
  <si>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</si>
  <si>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</si>
  <si>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</si>
  <si>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</si>
  <si>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</si>
  <si>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</si>
  <si>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</si>
  <si>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</si>
  <si>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</si>
  <si>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</si>
  <si>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</si>
  <si>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</si>
  <si>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</si>
  <si>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</si>
  <si>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</si>
  <si>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</si>
  <si>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</si>
  <si>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</si>
  <si>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</si>
  <si>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</si>
  <si>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</si>
  <si>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</si>
  <si>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</si>
  <si>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</si>
  <si>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</si>
  <si>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</si>
  <si>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</si>
  <si>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</si>
  <si>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</si>
  <si>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</si>
  <si>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</si>
  <si>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</si>
  <si>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</si>
  <si>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</si>
  <si>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</si>
  <si>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</si>
  <si>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</si>
  <si>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</si>
  <si>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</si>
  <si>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</si>
  <si>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</si>
  <si>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</si>
  <si>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</si>
  <si>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</si>
  <si>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</si>
  <si>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</si>
  <si>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</si>
  <si>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</si>
  <si>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</si>
  <si>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</si>
  <si>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</si>
  <si>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</si>
  <si>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</si>
  <si>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</si>
  <si>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</si>
  <si>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</si>
  <si>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</si>
  <si>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</si>
  <si>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</si>
  <si>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</si>
  <si>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</si>
  <si>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</si>
  <si>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</si>
  <si>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</si>
  <si>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</si>
  <si>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</si>
  <si>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</si>
  <si>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</si>
  <si>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</si>
  <si>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</si>
  <si>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</si>
  <si>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</si>
  <si>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</si>
  <si>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</si>
  <si>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</si>
  <si>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</si>
  <si>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</si>
  <si>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</si>
  <si>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</si>
  <si>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</si>
  <si>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</si>
  <si>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</si>
  <si>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</si>
  <si>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</si>
  <si>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</si>
  <si>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</si>
  <si>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</si>
  <si>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</si>
  <si>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</si>
  <si>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</si>
  <si>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</si>
  <si>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</si>
  <si>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</si>
  <si>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</si>
  <si>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</si>
  <si>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</si>
  <si>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</si>
  <si>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</si>
  <si>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</si>
  <si>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</si>
  <si>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</si>
  <si>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</si>
  <si>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</si>
  <si>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</si>
  <si>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</si>
  <si>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</si>
  <si>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</si>
  <si>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</si>
  <si>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</si>
  <si>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</si>
  <si>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</si>
  <si>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</si>
  <si>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</si>
  <si>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</si>
  <si>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</si>
  <si>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</si>
  <si>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</si>
  <si>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</si>
  <si>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</si>
  <si>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</si>
  <si>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</si>
  <si>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</si>
  <si>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</si>
  <si>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</si>
  <si>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</si>
  <si>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</si>
  <si>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</si>
  <si>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</si>
  <si>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</si>
  <si>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</si>
  <si>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</si>
  <si>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</si>
  <si>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</si>
  <si>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</si>
  <si>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</si>
  <si>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</si>
  <si>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</si>
  <si>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</si>
  <si>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</si>
  <si>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</si>
  <si>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</si>
  <si>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</si>
  <si>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</si>
  <si>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</si>
  <si>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</si>
  <si>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</si>
  <si>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</si>
  <si>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</si>
  <si>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</si>
  <si>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</si>
  <si>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</si>
  <si>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</si>
  <si>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</si>
  <si>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</si>
  <si>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</si>
  <si>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</si>
  <si>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</si>
  <si>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</si>
  <si>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</si>
  <si>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</si>
  <si>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</si>
  <si>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</si>
  <si>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</si>
  <si>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</si>
  <si>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</si>
  <si>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</si>
  <si>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</si>
  <si>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</si>
  <si>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</si>
  <si>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</si>
  <si>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</si>
  <si>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</si>
  <si>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</si>
  <si>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</si>
  <si>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</si>
  <si>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</si>
  <si>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</si>
  <si>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</si>
  <si>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</si>
  <si>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</si>
  <si>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</si>
  <si>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</si>
  <si>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</si>
  <si>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</si>
  <si>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</si>
  <si>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</si>
  <si>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</si>
  <si>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</si>
  <si>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</si>
  <si>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</si>
  <si>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</si>
  <si>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</si>
  <si>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</si>
  <si>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</si>
  <si>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</si>
  <si>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</si>
  <si>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</si>
  <si>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</si>
  <si>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</si>
  <si>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</si>
  <si>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</si>
  <si>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</si>
  <si>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</si>
  <si>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</si>
  <si>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</si>
  <si>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</si>
  <si>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</si>
  <si>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</si>
  <si>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</si>
  <si>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</si>
  <si>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</si>
  <si>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</si>
  <si>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</si>
  <si>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</si>
  <si>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</si>
  <si>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</si>
  <si>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</si>
  <si>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</si>
  <si>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</si>
  <si>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</si>
  <si>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</si>
  <si>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</si>
  <si>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</si>
  <si>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</si>
  <si>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</si>
  <si>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</si>
  <si>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</si>
  <si>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</si>
  <si>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</si>
  <si>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</si>
  <si>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</si>
  <si>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</si>
  <si>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</si>
  <si>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</si>
  <si>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</si>
  <si>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</si>
  <si>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</si>
  <si>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</si>
  <si>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</si>
  <si>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</si>
  <si>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</si>
  <si>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</si>
  <si>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</si>
  <si>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</si>
  <si>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</si>
  <si>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</si>
  <si>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</si>
  <si>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</si>
  <si>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</si>
  <si>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</si>
  <si>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</si>
  <si>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</si>
  <si>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</si>
  <si>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</si>
  <si>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</si>
  <si>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</si>
  <si>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</si>
  <si>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</si>
  <si>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</si>
  <si>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</si>
  <si>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</si>
  <si>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</si>
  <si>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</si>
  <si>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</si>
  <si>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</si>
  <si>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</si>
  <si>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</si>
  <si>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</si>
  <si>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</si>
  <si>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</si>
  <si>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</si>
  <si>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</si>
  <si>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</si>
  <si>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</si>
  <si>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</si>
  <si>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</si>
  <si>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</si>
  <si>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</si>
  <si>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</si>
  <si>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</si>
  <si>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</si>
  <si>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</si>
  <si>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</si>
  <si>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</si>
  <si>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</si>
  <si>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</si>
  <si>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</si>
  <si>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</si>
  <si>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</si>
  <si>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</si>
  <si>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</si>
  <si>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</si>
  <si>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</si>
  <si>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</si>
  <si>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</si>
  <si>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</si>
  <si>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</si>
  <si>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</si>
  <si>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</si>
  <si>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</si>
  <si>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</si>
  <si>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</si>
  <si>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</si>
  <si>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</si>
  <si>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</si>
  <si>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</si>
  <si>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</si>
  <si>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</si>
  <si>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</si>
  <si>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</si>
  <si>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</si>
  <si>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</si>
  <si>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</si>
  <si>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</si>
  <si>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</si>
  <si>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</si>
  <si>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</si>
  <si>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</si>
  <si>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</si>
  <si>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</si>
  <si>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</si>
  <si>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</si>
  <si>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</si>
  <si>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</si>
  <si>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</si>
  <si>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</si>
  <si>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</si>
  <si>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</si>
  <si>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</si>
  <si>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</si>
  <si>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</si>
  <si>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</si>
  <si>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</si>
  <si>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</si>
  <si>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</si>
  <si>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</si>
  <si>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</si>
  <si>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</si>
  <si>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</si>
  <si>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</si>
  <si>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</si>
  <si>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</si>
  <si>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</si>
  <si>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</si>
  <si>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</si>
  <si>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</si>
  <si>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</si>
  <si>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</si>
  <si>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</si>
  <si>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</si>
  <si>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</si>
  <si>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</si>
  <si>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</si>
  <si>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</si>
  <si>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</si>
  <si>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</si>
  <si>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</si>
  <si>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</si>
  <si>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</si>
  <si>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</si>
  <si>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</si>
  <si>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</si>
  <si>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</si>
  <si>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</si>
  <si>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</si>
  <si>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</si>
  <si>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</si>
  <si>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</si>
  <si>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</si>
  <si>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</si>
  <si>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</si>
  <si>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</si>
  <si>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</si>
  <si>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</si>
  <si>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</si>
  <si>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</si>
  <si>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</si>
  <si>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</si>
  <si>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</si>
  <si>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</si>
  <si>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</si>
  <si>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</si>
  <si>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</si>
  <si>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</si>
  <si>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</si>
  <si>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</si>
  <si>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</si>
  <si>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</si>
  <si>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</si>
  <si>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</si>
  <si>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</si>
  <si>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</si>
  <si>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</si>
  <si>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</si>
  <si>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</si>
  <si>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</si>
  <si>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</si>
  <si>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</si>
  <si>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</si>
  <si>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</si>
  <si>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</si>
  <si>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</si>
  <si>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</si>
  <si>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</si>
  <si>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</si>
  <si>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</si>
  <si>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</si>
  <si>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</si>
  <si>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</si>
  <si>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</si>
  <si>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</si>
  <si>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</si>
  <si>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</si>
  <si>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</si>
  <si>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</si>
  <si>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</si>
  <si>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</si>
  <si>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</si>
  <si>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</si>
  <si>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</si>
  <si>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</si>
  <si>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</si>
  <si>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</si>
  <si>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</si>
  <si>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</si>
  <si>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</si>
  <si>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</si>
  <si>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</si>
  <si>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</si>
  <si>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</si>
  <si>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</si>
  <si>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</si>
  <si>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</si>
  <si>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</si>
  <si>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</si>
  <si>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</si>
  <si>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</si>
  <si>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</si>
  <si>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</si>
  <si>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</si>
  <si>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</si>
  <si>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</si>
  <si>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</si>
  <si>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</si>
  <si>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</si>
  <si>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</si>
  <si>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</si>
  <si>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</si>
  <si>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</si>
  <si>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</si>
  <si>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</si>
  <si>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</si>
  <si>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</si>
  <si>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</si>
  <si>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</si>
  <si>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</si>
  <si>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</si>
  <si>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</si>
  <si>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</si>
  <si>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</si>
  <si>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</si>
  <si>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</si>
  <si>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</si>
  <si>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</si>
  <si>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</si>
  <si>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</si>
  <si>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</si>
  <si>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</si>
  <si>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</si>
  <si>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</si>
  <si>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</si>
  <si>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</si>
  <si>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</si>
  <si>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</si>
  <si>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</si>
  <si>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</si>
  <si>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</si>
  <si>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</si>
  <si>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</si>
  <si>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</si>
  <si>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</si>
  <si>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</si>
  <si>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</si>
  <si>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</si>
  <si>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</si>
  <si>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</si>
  <si>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</si>
  <si>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</si>
  <si>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</si>
  <si>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</si>
  <si>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</si>
  <si>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</si>
  <si>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</si>
  <si>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</si>
  <si>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</si>
  <si>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</si>
  <si>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</si>
  <si>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</si>
  <si>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</si>
  <si>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</si>
  <si>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</si>
  <si>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</si>
  <si>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</si>
  <si>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</si>
  <si>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</si>
  <si>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</si>
  <si>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</si>
  <si>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</si>
  <si>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</si>
  <si>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</si>
  <si>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</si>
  <si>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</si>
  <si>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</si>
  <si>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</si>
  <si>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</si>
  <si>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</si>
  <si>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</si>
  <si>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</si>
  <si>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</si>
  <si>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</si>
  <si>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</si>
  <si>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</si>
  <si>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</si>
  <si>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</si>
  <si>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</si>
  <si>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</si>
  <si>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</si>
  <si>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</si>
  <si>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Ⅷ-通1</t>
  </si>
  <si>
    <t>基准地价商业</t>
    <phoneticPr fontId="14" type="noConversion"/>
  </si>
  <si>
    <t>基准地价办公</t>
    <phoneticPr fontId="14" type="noConversion"/>
  </si>
  <si>
    <t>基准地价住宅</t>
    <phoneticPr fontId="14" type="noConversion"/>
  </si>
  <si>
    <t>居住用地（指二类居住用地）</t>
  </si>
  <si>
    <t>有</t>
  </si>
  <si>
    <t>与级别开发程度一致</t>
  </si>
  <si>
    <t>按公示增长率计算</t>
  </si>
  <si>
    <t>容积率修正</t>
  </si>
  <si>
    <t>商业</t>
  </si>
  <si>
    <t>批发零售用地</t>
  </si>
  <si>
    <t>不临58条商业街</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</si>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</sst>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7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wnloads\&#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2608</v>
      </c>
      <c r="B1" s="2576" t="s">
        <v>2705</v>
      </c>
    </row>
    <row r="2" spans="1:55" s="2580" customFormat="1" ht="15" thickTop="1">
      <c r="A2" s="2578" t="s">
        <v>2612</v>
      </c>
      <c r="B2" s="2579" t="str">
        <f>'预评函-封皮'!B37</f>
        <v>出让国有建设用地使用权预评估</v>
      </c>
      <c r="AX2" s="2581"/>
      <c r="AZ2" s="2581"/>
      <c r="BA2" s="2582"/>
      <c r="BC2" s="2582"/>
    </row>
    <row r="3" spans="1:55" s="2583" customFormat="1">
      <c r="A3" s="2562" t="s">
        <v>2613</v>
      </c>
      <c r="B3" s="2565">
        <f>'预评函-封皮'!B40</f>
        <v>0</v>
      </c>
    </row>
    <row r="4" spans="1:55" s="2564" customFormat="1">
      <c r="A4" s="2562" t="s">
        <v>2614</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2615</v>
      </c>
      <c r="B5" s="2585" t="str">
        <f>'预评函-封皮'!B49</f>
        <v>康正预评字号</v>
      </c>
    </row>
    <row r="6" spans="1:55" s="2586" customFormat="1" ht="15" thickTop="1">
      <c r="A6" s="2578" t="s">
        <v>2657</v>
      </c>
      <c r="B6" s="2579" t="str">
        <f>'预评函-1'!A4</f>
        <v>受贵公司委托，我公司对出让国有建设用地使用权进行了预评估。</v>
      </c>
      <c r="AM6" s="2587"/>
    </row>
    <row r="7" spans="1:55" s="2561" customFormat="1">
      <c r="A7" s="2562" t="s">
        <v>2609</v>
      </c>
      <c r="B7" s="2563" t="e">
        <f>'预评函-1'!A6</f>
        <v>#DIV/0!</v>
      </c>
    </row>
    <row r="8" spans="1:55" s="2561" customFormat="1">
      <c r="A8" s="2562" t="s">
        <v>2610</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2660</v>
      </c>
      <c r="B9" s="2563" t="str">
        <f>'预评函-1'!A9</f>
        <v>本次评估为委托估价方了解标的物之市场价格提供参考依据而评估出让国有建设用地使用权市场价格。</v>
      </c>
    </row>
    <row r="10" spans="1:55" s="2561" customFormat="1">
      <c r="A10" s="2562" t="s">
        <v>2611</v>
      </c>
      <c r="B10" s="2563" t="str">
        <f>'预评函-1'!A11</f>
        <v>2022年3月2日</v>
      </c>
    </row>
    <row r="11" spans="1:55" s="2561" customFormat="1">
      <c r="A11" s="2562" t="s">
        <v>2617</v>
      </c>
      <c r="B11" s="2563" t="str">
        <f>'预评函-1'!A14</f>
        <v>根据《国有土地使用证》[]，本次评估估价对象证载（地类）用途为。</v>
      </c>
    </row>
    <row r="12" spans="1:55" s="2561" customFormat="1">
      <c r="A12" s="2562" t="s">
        <v>2618</v>
      </c>
      <c r="B12" s="2563" t="str">
        <f>'预评函-1'!A15</f>
        <v>本次评估设定用途即为证载用途。</v>
      </c>
    </row>
    <row r="13" spans="1:55" s="2561" customFormat="1">
      <c r="A13" s="2562" t="s">
        <v>2619</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2620</v>
      </c>
      <c r="B14" s="2563" t="str">
        <f>'预评函-1'!A18</f>
        <v>。本次评估设定土地开发程度为红线外市政基础设施达“七通”、宗地红线内场地平整。</v>
      </c>
    </row>
    <row r="15" spans="1:55" s="2561" customFormat="1">
      <c r="A15" s="2562" t="s">
        <v>2616</v>
      </c>
      <c r="B15" s="2563" t="e">
        <f>'预评函-1'!A20</f>
        <v>#DIV/0!</v>
      </c>
    </row>
    <row r="16" spans="1:55" s="2561" customFormat="1">
      <c r="A16" s="2562" t="s">
        <v>2621</v>
      </c>
      <c r="B16" s="25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561" customFormat="1">
      <c r="A17" s="2562" t="s">
        <v>2622</v>
      </c>
      <c r="B17" s="2563" t="str">
        <f>'预评函-1'!A23</f>
        <v>本次评估设定估价对象剩余土地使用年限为。</v>
      </c>
    </row>
    <row r="18" spans="1:48" s="2561" customFormat="1">
      <c r="A18" s="2562" t="s">
        <v>2623</v>
      </c>
      <c r="B18" s="2563" t="str">
        <f>'预评函-1'!A25</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row>
    <row r="19" spans="1:48" s="2561" customFormat="1">
      <c r="A19" s="2562" t="s">
        <v>2624</v>
      </c>
      <c r="B19" s="256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1" customFormat="1">
      <c r="A20" s="2562" t="s">
        <v>2625</v>
      </c>
      <c r="B20" s="2563" t="str">
        <f>'预评函-1'!A27</f>
        <v>——</v>
      </c>
    </row>
    <row r="21" spans="1:48" s="2577" customFormat="1" ht="15" thickBot="1">
      <c r="A21" s="2584" t="s">
        <v>2626</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2627</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2628</v>
      </c>
      <c r="B23" s="2563" t="str">
        <f>'预评函-2'!K2</f>
        <v>估价期日：2022年3月2日</v>
      </c>
    </row>
    <row r="24" spans="1:48">
      <c r="A24" s="2562" t="s">
        <v>2629</v>
      </c>
      <c r="B24" s="2563" t="str">
        <f>'预评函-2'!R2</f>
        <v>估价期日的国有建设用地使用权性质：出让</v>
      </c>
    </row>
    <row r="25" spans="1:48">
      <c r="A25" s="2562" t="s">
        <v>2685</v>
      </c>
      <c r="B25" s="2563" t="str">
        <f>'预评函-2'!A3</f>
        <v>估价期日土地使用者</v>
      </c>
    </row>
    <row r="26" spans="1:48">
      <c r="A26" s="2562" t="s">
        <v>2661</v>
      </c>
      <c r="B26" s="2563" t="str">
        <f>'预评函-2'!A5</f>
        <v>中信开发</v>
      </c>
    </row>
    <row r="27" spans="1:48">
      <c r="A27" s="2562" t="s">
        <v>2686</v>
      </c>
      <c r="B27" s="2563" t="str">
        <f>'预评函-2'!B3</f>
        <v>宗地编号/不动产单元号</v>
      </c>
    </row>
    <row r="28" spans="1:48">
      <c r="A28" s="2562" t="s">
        <v>2662</v>
      </c>
      <c r="B28" s="2563" t="str">
        <f>'预评函-2'!B5</f>
        <v>11111111111</v>
      </c>
    </row>
    <row r="29" spans="1:48">
      <c r="A29" s="2562" t="s">
        <v>2688</v>
      </c>
      <c r="B29" s="2563">
        <f>'预评函-2'!C5</f>
        <v>22</v>
      </c>
    </row>
    <row r="30" spans="1:48">
      <c r="A30" s="2562" t="s">
        <v>2689</v>
      </c>
      <c r="B30" s="2563" t="str">
        <f>'预评函-2'!D3</f>
        <v>土地使用证编号/不动产权证书编号</v>
      </c>
    </row>
    <row r="31" spans="1:48">
      <c r="A31" s="2562" t="s">
        <v>2663</v>
      </c>
      <c r="B31" s="2563" t="str">
        <f>'预评函-2'!D5</f>
        <v>京国土字第111号</v>
      </c>
    </row>
    <row r="32" spans="1:48">
      <c r="A32" s="2562" t="s">
        <v>2664</v>
      </c>
      <c r="B32" s="2563">
        <f>'预评函-2'!E5</f>
        <v>0</v>
      </c>
      <c r="AV32" s="2567"/>
    </row>
    <row r="33" spans="1:2">
      <c r="A33" s="2562" t="s">
        <v>2665</v>
      </c>
      <c r="B33" s="2563">
        <f>'预评函-2'!F5</f>
        <v>258</v>
      </c>
    </row>
    <row r="34" spans="1:2">
      <c r="A34" s="2562" t="s">
        <v>2666</v>
      </c>
      <c r="B34" s="2563">
        <f>'预评函-2'!G5</f>
        <v>0</v>
      </c>
    </row>
    <row r="35" spans="1:2">
      <c r="A35" s="2562" t="s">
        <v>2667</v>
      </c>
      <c r="B35" s="2563">
        <f>'预评函-2'!H5</f>
        <v>1.5</v>
      </c>
    </row>
    <row r="36" spans="1:2">
      <c r="A36" s="2562" t="s">
        <v>2668</v>
      </c>
      <c r="B36" s="2563">
        <f>'预评函-2'!I5</f>
        <v>1.5</v>
      </c>
    </row>
    <row r="37" spans="1:2">
      <c r="A37" s="2562" t="s">
        <v>2669</v>
      </c>
      <c r="B37" s="2563">
        <f>'预评函-2'!J5</f>
        <v>1.5</v>
      </c>
    </row>
    <row r="38" spans="1:2">
      <c r="A38" s="2562" t="s">
        <v>2670</v>
      </c>
      <c r="B38" s="2563" t="str">
        <f>'预评函-2'!K5</f>
        <v>红线外七通、宗地红线内</v>
      </c>
    </row>
    <row r="39" spans="1:2">
      <c r="A39" s="2562" t="s">
        <v>2671</v>
      </c>
      <c r="B39" s="2563" t="str">
        <f>'预评函-2'!L5</f>
        <v>红线外七通、宗地红线内场地</v>
      </c>
    </row>
    <row r="40" spans="1:2">
      <c r="A40" s="2562" t="s">
        <v>2690</v>
      </c>
      <c r="B40" s="2563" t="str">
        <f>'预评函-2'!M3</f>
        <v>（剩余）土地使用年限/年</v>
      </c>
    </row>
    <row r="41" spans="1:2">
      <c r="A41" s="2562" t="s">
        <v>2672</v>
      </c>
      <c r="B41" s="2563">
        <f>'预评函-2'!M5</f>
        <v>0</v>
      </c>
    </row>
    <row r="42" spans="1:2">
      <c r="A42" s="2562" t="s">
        <v>2691</v>
      </c>
      <c r="B42" s="2563" t="str">
        <f>'预评函-2'!N3</f>
        <v>（分摊）出让国有建设用地使用权面积/㎡</v>
      </c>
    </row>
    <row r="43" spans="1:2">
      <c r="A43" s="2562" t="s">
        <v>2673</v>
      </c>
      <c r="B43" s="2563" t="e">
        <f>'预评函-2'!N5</f>
        <v>#DIV/0!</v>
      </c>
    </row>
    <row r="44" spans="1:2">
      <c r="A44" s="2562" t="s">
        <v>2692</v>
      </c>
      <c r="B44" s="2563" t="str">
        <f>'预评函-2'!O3</f>
        <v>规划建筑面积/㎡</v>
      </c>
    </row>
    <row r="45" spans="1:2">
      <c r="A45" s="2562" t="s">
        <v>2674</v>
      </c>
      <c r="B45" s="2563">
        <f>'预评函-2'!O5</f>
        <v>0</v>
      </c>
    </row>
    <row r="46" spans="1:2">
      <c r="A46" s="2562" t="s">
        <v>2675</v>
      </c>
      <c r="B46" s="2563" t="e">
        <f ca="1">'预评函-2'!P5</f>
        <v>#REF!</v>
      </c>
    </row>
    <row r="47" spans="1:2">
      <c r="A47" s="2562" t="s">
        <v>2676</v>
      </c>
      <c r="B47" s="2563" t="e">
        <f ca="1">'预评函-2'!Q5</f>
        <v>#REF!</v>
      </c>
    </row>
    <row r="48" spans="1:2">
      <c r="A48" s="2562" t="s">
        <v>2677</v>
      </c>
      <c r="B48" s="2563" t="e">
        <f ca="1">'预评函-2'!R5</f>
        <v>#REF!</v>
      </c>
    </row>
    <row r="49" spans="1:2">
      <c r="A49" s="2562" t="s">
        <v>2693</v>
      </c>
      <c r="B49" s="2563" t="str">
        <f>'预评函-2'!A6</f>
        <v>抵押价格</v>
      </c>
    </row>
    <row r="50" spans="1:2">
      <c r="A50" s="2562" t="s">
        <v>2678</v>
      </c>
      <c r="B50" s="2563" t="str">
        <f>'预评函-2'!R6</f>
        <v>——</v>
      </c>
    </row>
    <row r="51" spans="1:2">
      <c r="A51" s="2562" t="s">
        <v>2694</v>
      </c>
      <c r="B51" s="2563" t="str">
        <f>'预评函-2'!A7</f>
        <v>——</v>
      </c>
    </row>
    <row r="52" spans="1:2">
      <c r="A52" s="2562" t="s">
        <v>2679</v>
      </c>
      <c r="B52" s="2563" t="str">
        <f>'预评函-2'!R7</f>
        <v>——</v>
      </c>
    </row>
    <row r="53" spans="1:2">
      <c r="A53" s="2562" t="s">
        <v>2695</v>
      </c>
      <c r="B53" s="2563">
        <f>'预评函-2'!A8</f>
        <v>0</v>
      </c>
    </row>
    <row r="54" spans="1:2" s="2577" customFormat="1" ht="15" thickBot="1">
      <c r="A54" s="2584" t="s">
        <v>2680</v>
      </c>
      <c r="B54" s="2585" t="str">
        <f>'预评函-2'!R8</f>
        <v>——</v>
      </c>
    </row>
    <row r="55" spans="1:2" ht="15" thickTop="1">
      <c r="A55" s="2573" t="s">
        <v>2630</v>
      </c>
      <c r="B55" s="2574" t="str">
        <f>'预评函-3'!A2</f>
        <v>1.权利限制：根据估价对象《不动产权证书》原件、《国有土地使用权》复印件，截至估价期日，估价对象抵押权未见登记。未设定租赁等其他他项权利。</v>
      </c>
    </row>
    <row r="56" spans="1:2">
      <c r="A56" s="2562" t="s">
        <v>2631</v>
      </c>
      <c r="B56" s="2563" t="str">
        <f>'预评函-3'!A3</f>
        <v>2.基础设施条件：估价对象实际开发程度为红线外七通、宗地红线内；本次评估设定开发程度为红线外七通、宗地红线内场地。</v>
      </c>
    </row>
    <row r="57" spans="1:2">
      <c r="A57" s="2562" t="s">
        <v>2632</v>
      </c>
      <c r="B57" s="2563" t="str">
        <f>'预评函-3'!A4</f>
        <v>3.估价规划限制条件：详见《建设工程规划许可证》[]、《出让合同》[]。</v>
      </c>
    </row>
    <row r="58" spans="1:2" s="2577" customFormat="1" ht="15" thickBot="1">
      <c r="A58" s="2584" t="s">
        <v>2681</v>
      </c>
      <c r="B58" s="2585" t="str">
        <f>'预评函-3'!A5</f>
        <v>4.影响价格的其他限定条件：无。</v>
      </c>
    </row>
    <row r="59" spans="1:2" ht="15" thickTop="1">
      <c r="A59" s="2573" t="s">
        <v>2633</v>
      </c>
      <c r="B59" s="2574" t="str">
        <f>'预评函-3'!A8</f>
        <v>2.本次评估设定估价对象宗地权属无争议，未被查封或者以其他形式限制其房地产权利，未设定抵押权等他项权利，不涉及第三方权利义务。</v>
      </c>
    </row>
    <row r="60" spans="1:2">
      <c r="A60" s="2562" t="s">
        <v>2634</v>
      </c>
      <c r="B60" s="2563" t="str">
        <f>'预评函-3'!A9</f>
        <v>——</v>
      </c>
    </row>
    <row r="61" spans="1:2">
      <c r="A61" s="2562" t="s">
        <v>2636</v>
      </c>
      <c r="B61" s="2563" t="str">
        <f>'预评函-3'!A10</f>
        <v>——</v>
      </c>
    </row>
    <row r="62" spans="1:2">
      <c r="A62" s="2562" t="s">
        <v>2635</v>
      </c>
      <c r="B62" s="2563" t="str">
        <f>'预评函-3'!A11</f>
        <v>——</v>
      </c>
    </row>
    <row r="63" spans="1:2">
      <c r="A63" s="2562" t="s">
        <v>2637</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2638</v>
      </c>
      <c r="B64" s="2568" t="str">
        <f>'预评函-3'!A13</f>
        <v>（3）。</v>
      </c>
    </row>
    <row r="65" spans="1:2">
      <c r="A65" s="2562" t="s">
        <v>2639</v>
      </c>
      <c r="B65" s="2569" t="str">
        <f>'预评函-3'!A14</f>
        <v>——</v>
      </c>
    </row>
    <row r="66" spans="1:2">
      <c r="A66" s="2562" t="s">
        <v>2640</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2641</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2644</v>
      </c>
      <c r="B68" s="2588">
        <f>'预评函-3'!D30</f>
        <v>42558</v>
      </c>
    </row>
    <row r="69" spans="1:2" ht="15" thickTop="1">
      <c r="A69" s="2573" t="s">
        <v>2642</v>
      </c>
      <c r="B69" s="2574" t="str">
        <f>'预评函-3'!A20</f>
        <v>土地估价师</v>
      </c>
    </row>
    <row r="70" spans="1:2">
      <c r="A70" s="2562" t="s">
        <v>2642</v>
      </c>
      <c r="B70" s="2569">
        <f>'预评函-3'!B20</f>
        <v>0</v>
      </c>
    </row>
    <row r="71" spans="1:2">
      <c r="A71" s="2562" t="s">
        <v>2643</v>
      </c>
      <c r="B71" s="2563" t="str">
        <f>'预评函-3'!A21</f>
        <v>土地估价师</v>
      </c>
    </row>
    <row r="72" spans="1:2" s="2577" customFormat="1" ht="15" thickBot="1">
      <c r="A72" s="2584" t="s">
        <v>2643</v>
      </c>
      <c r="B72" s="2590">
        <f>'预评函-3'!B21</f>
        <v>0</v>
      </c>
    </row>
    <row r="73" spans="1:2" ht="15" thickTop="1">
      <c r="A73" s="2573" t="s">
        <v>2702</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2703</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2704</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2738</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1903</v>
      </c>
      <c r="B1" s="3493" t="str">
        <f>IF(B10="北京市","北京市",C10)&amp;F10&amp;B16&amp;"国有建设用地使用权"&amp;B9&amp;"预评估"</f>
        <v>出让国有建设用地使用权预评估</v>
      </c>
      <c r="C1" s="3494"/>
      <c r="D1" s="3494"/>
      <c r="E1" s="3494"/>
      <c r="F1" s="3494"/>
      <c r="G1" s="3494"/>
      <c r="H1" s="3494"/>
      <c r="I1" s="3495"/>
      <c r="J1" s="3039"/>
      <c r="K1" s="2280" t="str">
        <f>IF(B10="北京市","北京市",C10)&amp;F10&amp;B16&amp;"国有建设用地使用权"&amp;B9</f>
        <v>出让国有建设用地使用权</v>
      </c>
      <c r="L1" s="3018"/>
      <c r="M1" s="3018"/>
      <c r="N1" s="3019"/>
      <c r="O1" s="3020"/>
      <c r="P1" s="3019"/>
      <c r="Q1" s="3019"/>
      <c r="R1" s="3019"/>
      <c r="S1" s="3019"/>
      <c r="T1" s="3019"/>
      <c r="U1" s="3019"/>
    </row>
    <row r="2" spans="1:21">
      <c r="A2" s="1560" t="s">
        <v>1904</v>
      </c>
      <c r="B2" s="1727"/>
      <c r="D2" s="3039"/>
      <c r="E2" s="3039"/>
      <c r="F2" s="3039"/>
      <c r="G2" s="3039"/>
      <c r="H2" s="3040"/>
      <c r="I2" s="3041"/>
      <c r="J2" s="3039"/>
      <c r="K2" s="2280" t="str">
        <f>IF(B10="北京市","北京市",C10)&amp;F10&amp;B16&amp;"国有建设用地使用权"</f>
        <v>出让国有建设用地使用权</v>
      </c>
      <c r="L2" s="3018"/>
      <c r="M2" s="3018"/>
      <c r="N2" s="3019"/>
      <c r="O2" s="3020"/>
      <c r="P2" s="3019"/>
      <c r="Q2" s="3019"/>
      <c r="R2" s="3019"/>
      <c r="S2" s="3019"/>
      <c r="T2" s="3019"/>
      <c r="U2" s="3019"/>
    </row>
    <row r="3" spans="1:21">
      <c r="A3" s="1561" t="s">
        <v>1905</v>
      </c>
      <c r="B3" s="1562"/>
      <c r="C3" s="2962" t="s">
        <v>1961</v>
      </c>
      <c r="D3" s="1562">
        <v>44622</v>
      </c>
      <c r="E3" s="3039"/>
      <c r="F3" s="3039"/>
      <c r="G3" s="3039"/>
      <c r="H3" s="3040"/>
      <c r="I3" s="3041"/>
      <c r="J3" s="3039"/>
      <c r="K3" s="3022"/>
      <c r="L3" s="3018"/>
      <c r="M3" s="3018"/>
      <c r="N3" s="3019"/>
      <c r="O3" s="3020"/>
      <c r="P3" s="3019"/>
      <c r="Q3" s="3019"/>
      <c r="R3" s="3019"/>
      <c r="S3" s="3019"/>
      <c r="T3" s="3019"/>
      <c r="U3" s="3019"/>
    </row>
    <row r="4" spans="1:21" ht="15" thickBot="1">
      <c r="A4" s="1564" t="s">
        <v>1906</v>
      </c>
      <c r="B4" s="1728" t="s">
        <v>2836</v>
      </c>
      <c r="C4" s="1731">
        <f>SUMIF(土地估价师,B4,估价师及机构信息!E3:E16)</f>
        <v>0</v>
      </c>
      <c r="D4" s="1728" t="s">
        <v>2836</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1907</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2658</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2659</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1908</v>
      </c>
      <c r="B8" s="1570"/>
      <c r="C8" s="1571"/>
      <c r="D8" s="3499" t="s">
        <v>1910</v>
      </c>
      <c r="E8" s="1729"/>
      <c r="F8" s="1572"/>
      <c r="G8" s="3040"/>
      <c r="H8" s="3040"/>
      <c r="I8" s="3043"/>
      <c r="J8" s="3039"/>
      <c r="K8" s="3022"/>
      <c r="L8" s="3018"/>
      <c r="M8" s="3018"/>
      <c r="N8" s="3019"/>
      <c r="O8" s="3020"/>
      <c r="P8" s="3019"/>
      <c r="Q8" s="3019"/>
      <c r="R8" s="3019"/>
      <c r="S8" s="3019"/>
      <c r="T8" s="3019"/>
      <c r="U8" s="3019"/>
    </row>
    <row r="9" spans="1:21" ht="15" thickBot="1">
      <c r="A9" s="2964" t="s">
        <v>1909</v>
      </c>
      <c r="B9" s="1573"/>
      <c r="C9" s="1574"/>
      <c r="D9" s="3500"/>
      <c r="E9" s="1573"/>
      <c r="F9" s="1636"/>
      <c r="G9" s="3044"/>
      <c r="H9" s="3044"/>
      <c r="I9" s="3045"/>
      <c r="J9" s="3039"/>
      <c r="K9" s="3022"/>
      <c r="L9" s="3018"/>
      <c r="M9" s="3018"/>
      <c r="N9" s="3019"/>
      <c r="O9" s="3020"/>
      <c r="P9" s="3019"/>
      <c r="Q9" s="3019"/>
      <c r="R9" s="3019"/>
      <c r="S9" s="3019"/>
      <c r="T9" s="3019"/>
      <c r="U9" s="3019"/>
    </row>
    <row r="10" spans="1:21" ht="15" thickTop="1">
      <c r="A10" s="2965" t="s">
        <v>1965</v>
      </c>
      <c r="B10" s="1612"/>
      <c r="C10" s="1575"/>
      <c r="D10" s="1567"/>
      <c r="E10" s="1576" t="s">
        <v>1912</v>
      </c>
      <c r="F10" s="1577"/>
      <c r="G10" s="1634"/>
      <c r="H10" s="1635"/>
      <c r="I10" s="1567"/>
      <c r="J10" s="3039"/>
      <c r="K10" s="3022"/>
      <c r="L10" s="3018"/>
      <c r="M10" s="3018"/>
      <c r="N10" s="3019"/>
      <c r="O10" s="3020"/>
      <c r="P10" s="3019"/>
      <c r="Q10" s="3019"/>
      <c r="R10" s="3019"/>
      <c r="S10" s="3019"/>
      <c r="T10" s="3019"/>
      <c r="U10" s="3019"/>
    </row>
    <row r="11" spans="1:21">
      <c r="A11" s="2966" t="s">
        <v>1966</v>
      </c>
      <c r="B11" s="1592"/>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2024</v>
      </c>
      <c r="B12" s="3496"/>
      <c r="C12" s="3497"/>
      <c r="D12" s="3498"/>
      <c r="E12" s="1593" t="s">
        <v>2027</v>
      </c>
      <c r="F12" s="3514" t="s">
        <v>2837</v>
      </c>
      <c r="G12" s="3515"/>
      <c r="H12" s="3515"/>
      <c r="I12" s="3516"/>
      <c r="J12" s="3039"/>
      <c r="K12" s="3022"/>
      <c r="L12" s="3018"/>
      <c r="M12" s="3018"/>
      <c r="N12" s="3019"/>
      <c r="O12" s="3020"/>
      <c r="P12" s="3019"/>
      <c r="Q12" s="3019"/>
      <c r="R12" s="3019"/>
      <c r="S12" s="3019"/>
      <c r="T12" s="3019"/>
      <c r="U12" s="3019"/>
    </row>
    <row r="13" spans="1:21">
      <c r="A13" s="1584" t="s">
        <v>2025</v>
      </c>
      <c r="B13" s="3496"/>
      <c r="C13" s="3497"/>
      <c r="D13" s="3498"/>
      <c r="E13" s="1593" t="s">
        <v>2027</v>
      </c>
      <c r="F13" s="3514" t="s">
        <v>2838</v>
      </c>
      <c r="G13" s="3515"/>
      <c r="H13" s="3515"/>
      <c r="I13" s="3516"/>
      <c r="J13" s="3039"/>
      <c r="K13" s="3022"/>
      <c r="L13" s="3018"/>
      <c r="M13" s="3018"/>
      <c r="N13" s="3019"/>
      <c r="O13" s="3020"/>
      <c r="P13" s="3019"/>
      <c r="Q13" s="3019"/>
      <c r="R13" s="3019"/>
      <c r="S13" s="3019"/>
      <c r="T13" s="3019"/>
      <c r="U13" s="3019"/>
    </row>
    <row r="14" spans="1:21">
      <c r="A14" s="1561" t="s">
        <v>2028</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1915</v>
      </c>
      <c r="E15" s="1655" t="s">
        <v>1916</v>
      </c>
      <c r="F15" s="1655" t="s">
        <v>1917</v>
      </c>
      <c r="G15" s="1583" t="s">
        <v>1918</v>
      </c>
      <c r="H15" s="1583" t="s">
        <v>1919</v>
      </c>
      <c r="I15" s="1583" t="s">
        <v>1920</v>
      </c>
      <c r="J15" s="3039"/>
      <c r="K15" s="3022"/>
      <c r="L15" s="3018"/>
      <c r="M15" s="3018"/>
      <c r="N15" s="3019"/>
      <c r="O15" s="3020"/>
      <c r="P15" s="3019"/>
      <c r="Q15" s="3019"/>
      <c r="R15" s="3019"/>
      <c r="S15" s="3019"/>
      <c r="T15" s="3019"/>
      <c r="U15" s="3019"/>
    </row>
    <row r="16" spans="1:21">
      <c r="A16" s="2967" t="s">
        <v>1913</v>
      </c>
      <c r="B16" s="1579" t="s">
        <v>2999</v>
      </c>
      <c r="C16" s="1593" t="s">
        <v>1914</v>
      </c>
      <c r="D16" s="2455" t="s">
        <v>1915</v>
      </c>
      <c r="E16" s="1615"/>
      <c r="F16" s="1615"/>
      <c r="G16" s="1615"/>
      <c r="H16" s="1615"/>
      <c r="I16" s="1583" t="s">
        <v>1920</v>
      </c>
      <c r="J16" s="3039"/>
      <c r="K16" s="2281" t="str">
        <f>IF(D17="","",D16&amp;TEXT(D17,"yyyy年m月d日;;"))</f>
        <v/>
      </c>
      <c r="L16" s="1593" t="str">
        <f>IF(OR(K16="",M16=""),"","、")</f>
        <v/>
      </c>
      <c r="M16" s="2281" t="str">
        <f>IF(E17="","",E16&amp;TEXT(E17,"yyyy年m月d日;;"))</f>
        <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1921</v>
      </c>
      <c r="D17" s="3242"/>
      <c r="E17" s="3242"/>
      <c r="F17" s="3242"/>
      <c r="G17" s="3242"/>
      <c r="H17" s="3242"/>
      <c r="I17" s="3242"/>
      <c r="J17" s="3039"/>
      <c r="K17" s="3017" t="str">
        <f>CONCATENATE(K16,L16,M16,N16,O16,P16,Q16,R16,S16,T16,,U16)</f>
        <v/>
      </c>
      <c r="L17" s="3018"/>
      <c r="M17" s="3018"/>
      <c r="N17" s="3019"/>
      <c r="O17" s="3020"/>
      <c r="P17" s="3019"/>
      <c r="Q17" s="3019"/>
      <c r="R17" s="3019"/>
      <c r="S17" s="3019"/>
      <c r="T17" s="3019"/>
      <c r="U17" s="3019"/>
    </row>
    <row r="18" spans="1:21">
      <c r="A18" s="1652"/>
      <c r="B18" s="1580"/>
      <c r="C18" s="2968" t="s">
        <v>1922</v>
      </c>
      <c r="D18" s="1581"/>
      <c r="E18" s="1581"/>
      <c r="F18" s="1581"/>
      <c r="G18" s="1581"/>
      <c r="H18" s="1581"/>
      <c r="I18" s="1581"/>
      <c r="J18" s="3039"/>
      <c r="K18" s="3022"/>
      <c r="L18" s="3018"/>
      <c r="M18" s="3018"/>
      <c r="N18" s="3019"/>
      <c r="O18" s="3020"/>
      <c r="P18" s="3019"/>
      <c r="Q18" s="3019"/>
      <c r="R18" s="3019"/>
      <c r="S18" s="3019"/>
      <c r="T18" s="3019"/>
      <c r="U18" s="3019"/>
    </row>
    <row r="19" spans="1:21">
      <c r="A19" s="1652"/>
      <c r="B19" s="1580"/>
      <c r="C19" s="1560" t="s">
        <v>1923</v>
      </c>
      <c r="D19" s="1647" t="str">
        <f>IF(B16="出让",IF(D17="","",ROUNDDOWN(MIN((D17-$D$3)/365,D18),2)),D18)</f>
        <v/>
      </c>
      <c r="E19" s="1582" t="str">
        <f>IF(B16="出让",IF(E17="","",ROUNDDOWN(MIN((E17-$D$3)/365,E18),2)),E18)</f>
        <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2026</v>
      </c>
      <c r="D20" s="3511"/>
      <c r="E20" s="3512"/>
      <c r="F20" s="3512"/>
      <c r="G20" s="3512"/>
      <c r="H20" s="3512"/>
      <c r="I20" s="3513"/>
      <c r="J20" s="3039"/>
      <c r="K20" s="3022"/>
      <c r="L20" s="3018"/>
      <c r="M20" s="3018"/>
      <c r="N20" s="3019"/>
      <c r="O20" s="3020"/>
      <c r="P20" s="3019"/>
      <c r="Q20" s="3019"/>
      <c r="R20" s="3019"/>
      <c r="S20" s="3019"/>
      <c r="T20" s="3019"/>
      <c r="U20" s="3019"/>
    </row>
    <row r="21" spans="1:21">
      <c r="A21" s="1652" t="s">
        <v>1924</v>
      </c>
      <c r="B21" s="1653" t="s">
        <v>1925</v>
      </c>
      <c r="C21" s="1648">
        <f>'数据-汇总表'!E3</f>
        <v>0</v>
      </c>
      <c r="D21" s="1649" t="s">
        <v>1926</v>
      </c>
      <c r="E21" s="3501" t="s">
        <v>1964</v>
      </c>
      <c r="F21" s="3502"/>
      <c r="G21" s="3502"/>
      <c r="H21" s="3502"/>
      <c r="I21" s="3503"/>
      <c r="J21" s="3039"/>
      <c r="K21" s="3022"/>
      <c r="L21" s="3018"/>
      <c r="M21" s="3018"/>
      <c r="N21" s="3019"/>
      <c r="O21" s="3020"/>
      <c r="P21" s="3019"/>
      <c r="Q21" s="3019"/>
      <c r="R21" s="3019"/>
      <c r="S21" s="3019"/>
      <c r="T21" s="3019"/>
      <c r="U21" s="3019"/>
    </row>
    <row r="22" spans="1:21">
      <c r="A22" s="2767" t="s">
        <v>927</v>
      </c>
      <c r="B22" s="1561" t="s">
        <v>1927</v>
      </c>
      <c r="C22" s="1583" t="e">
        <f>'数据-汇总表'!D3</f>
        <v>#DIV/0!</v>
      </c>
      <c r="D22" s="1584" t="s">
        <v>1926</v>
      </c>
      <c r="E22" s="3501" t="s">
        <v>2839</v>
      </c>
      <c r="F22" s="3502"/>
      <c r="G22" s="3502"/>
      <c r="H22" s="3502"/>
      <c r="I22" s="3503"/>
      <c r="J22" s="3039"/>
      <c r="K22" s="3022"/>
      <c r="L22" s="3018"/>
      <c r="M22" s="3018"/>
      <c r="N22" s="3019"/>
      <c r="O22" s="3020"/>
      <c r="P22" s="3019"/>
      <c r="Q22" s="3019"/>
      <c r="R22" s="3019"/>
      <c r="S22" s="3019"/>
      <c r="T22" s="3019"/>
      <c r="U22" s="3019"/>
    </row>
    <row r="23" spans="1:21" ht="43.5" thickBot="1">
      <c r="A23" s="1654" t="s">
        <v>1928</v>
      </c>
      <c r="B23" s="1594" t="s">
        <v>1929</v>
      </c>
      <c r="C23" s="1595"/>
      <c r="D23" s="1596" t="s">
        <v>1930</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1931</v>
      </c>
      <c r="B24" s="3504" t="s">
        <v>1932</v>
      </c>
      <c r="C24" s="3505"/>
      <c r="D24" s="3506" t="s">
        <v>1933</v>
      </c>
      <c r="E24" s="3507"/>
      <c r="F24" s="1601" t="s">
        <v>1934</v>
      </c>
      <c r="G24" s="3039"/>
      <c r="H24" s="3039"/>
      <c r="I24" s="3043"/>
      <c r="J24" s="3039"/>
      <c r="K24" s="3492" t="s">
        <v>1935</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2289</v>
      </c>
      <c r="C25" s="1602" t="s">
        <v>1936</v>
      </c>
      <c r="D25" s="1603"/>
      <c r="E25" s="1604" t="s">
        <v>927</v>
      </c>
      <c r="F25" s="1605"/>
      <c r="G25" s="3039"/>
      <c r="H25" s="3039"/>
      <c r="I25" s="3043"/>
      <c r="J25" s="3039"/>
      <c r="K25" s="3492"/>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1937</v>
      </c>
      <c r="C26" s="1602" t="s">
        <v>2290</v>
      </c>
      <c r="D26" s="3040"/>
      <c r="E26" s="3040"/>
      <c r="F26" s="3046"/>
      <c r="G26" s="3039"/>
      <c r="H26" s="3039"/>
      <c r="I26" s="3043"/>
      <c r="J26" s="3039"/>
      <c r="K26" s="3492"/>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1938</v>
      </c>
      <c r="B27" s="1642" t="s">
        <v>1939</v>
      </c>
      <c r="C27" s="1606"/>
      <c r="D27" s="2460" t="s">
        <v>1939</v>
      </c>
      <c r="E27" s="1607"/>
      <c r="F27" s="3046"/>
      <c r="G27" s="3039"/>
      <c r="H27" s="3039"/>
      <c r="I27" s="3043"/>
      <c r="J27" s="3039"/>
      <c r="K27" s="3022"/>
      <c r="L27" s="3018"/>
      <c r="M27" s="3018"/>
      <c r="N27" s="3019"/>
      <c r="O27" s="3020"/>
      <c r="P27" s="3019"/>
      <c r="Q27" s="3019"/>
      <c r="R27" s="3019"/>
      <c r="S27" s="3019"/>
      <c r="T27" s="3019"/>
      <c r="U27" s="3019"/>
    </row>
    <row r="28" spans="1:21">
      <c r="A28" s="1645"/>
      <c r="B28" s="1642" t="s">
        <v>1940</v>
      </c>
      <c r="C28" s="1608"/>
      <c r="D28" s="2461" t="s">
        <v>1940</v>
      </c>
      <c r="E28" s="1609"/>
      <c r="F28" s="3046"/>
      <c r="G28" s="3039"/>
      <c r="H28" s="3039"/>
      <c r="I28" s="3043"/>
      <c r="J28" s="3039"/>
      <c r="K28" s="3022"/>
      <c r="L28" s="3018"/>
      <c r="M28" s="3018"/>
      <c r="N28" s="3019"/>
      <c r="O28" s="3020"/>
      <c r="P28" s="3019"/>
      <c r="Q28" s="3019"/>
      <c r="R28" s="3019"/>
      <c r="S28" s="3019"/>
      <c r="T28" s="3019"/>
      <c r="U28" s="3019"/>
    </row>
    <row r="29" spans="1:21">
      <c r="A29" s="1645"/>
      <c r="B29" s="1642" t="s">
        <v>1941</v>
      </c>
      <c r="C29" s="1608"/>
      <c r="D29" s="2461" t="s">
        <v>1941</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1942</v>
      </c>
      <c r="C30" s="1610"/>
      <c r="D30" s="2462" t="s">
        <v>1942</v>
      </c>
      <c r="E30" s="1611"/>
      <c r="F30" s="3047"/>
      <c r="G30" s="3044"/>
      <c r="H30" s="3044"/>
      <c r="I30" s="3045"/>
      <c r="J30" s="3039"/>
      <c r="K30" s="3022"/>
      <c r="L30" s="3018"/>
      <c r="M30" s="3018"/>
      <c r="N30" s="3019"/>
      <c r="O30" s="3020"/>
      <c r="P30" s="3019"/>
      <c r="Q30" s="3019"/>
      <c r="R30" s="3019"/>
      <c r="S30" s="3019"/>
      <c r="T30" s="3019"/>
      <c r="U30" s="3019"/>
    </row>
    <row r="31" spans="1:21" ht="15" thickTop="1">
      <c r="A31" s="3478" t="s">
        <v>1967</v>
      </c>
      <c r="B31" s="1653" t="s">
        <v>1968</v>
      </c>
      <c r="C31" s="3517"/>
      <c r="D31" s="3518"/>
      <c r="E31" s="3039"/>
      <c r="F31" s="3039"/>
      <c r="G31" s="3039"/>
      <c r="H31" s="3039"/>
      <c r="I31" s="3043"/>
      <c r="J31" s="3039"/>
      <c r="K31" s="3025"/>
      <c r="L31" s="3019"/>
      <c r="M31" s="3019"/>
      <c r="N31" s="3019"/>
      <c r="O31" s="3019"/>
      <c r="P31" s="3019"/>
      <c r="Q31" s="3019"/>
      <c r="R31" s="3019"/>
      <c r="S31" s="3019"/>
      <c r="T31" s="3019"/>
      <c r="U31" s="3019"/>
    </row>
    <row r="32" spans="1:21">
      <c r="A32" s="3478"/>
      <c r="B32" s="1561" t="s">
        <v>1969</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478"/>
      <c r="B33" s="1561" t="s">
        <v>1970</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479"/>
      <c r="B34" s="1561" t="s">
        <v>1971</v>
      </c>
      <c r="C34" s="3480"/>
      <c r="D34" s="3481"/>
      <c r="E34" s="3039"/>
      <c r="F34" s="3039"/>
      <c r="G34" s="3039"/>
      <c r="H34" s="3039"/>
      <c r="I34" s="3043"/>
      <c r="J34" s="3039"/>
      <c r="K34" s="3025"/>
      <c r="L34" s="3019"/>
      <c r="M34" s="3019"/>
      <c r="N34" s="3019"/>
      <c r="O34" s="3019"/>
      <c r="P34" s="3019"/>
      <c r="Q34" s="3019"/>
      <c r="R34" s="3019"/>
      <c r="S34" s="3019"/>
      <c r="T34" s="3019"/>
      <c r="U34" s="3019"/>
    </row>
    <row r="35" spans="1:28">
      <c r="A35" s="3482" t="s">
        <v>823</v>
      </c>
      <c r="B35" s="1615"/>
      <c r="C35" s="1662" t="str">
        <f>IF(B35="场地平整","——","具体情况：")</f>
        <v>具体情况：</v>
      </c>
      <c r="D35" s="3484"/>
      <c r="E35" s="3485"/>
      <c r="F35" s="3485"/>
      <c r="G35" s="3485"/>
      <c r="H35" s="3485"/>
      <c r="I35" s="3486"/>
      <c r="J35" s="3039"/>
      <c r="K35" s="3026"/>
      <c r="L35" s="3018"/>
      <c r="M35" s="3018"/>
      <c r="N35" s="3019"/>
      <c r="O35" s="3020"/>
      <c r="P35" s="3019"/>
      <c r="Q35" s="3019"/>
      <c r="R35" s="3019"/>
      <c r="S35" s="3019"/>
      <c r="T35" s="3019"/>
      <c r="U35" s="3019"/>
    </row>
    <row r="36" spans="1:28">
      <c r="A36" s="3478"/>
      <c r="B36" s="3487" t="s">
        <v>2020</v>
      </c>
      <c r="C36" s="3488"/>
      <c r="D36" s="1678"/>
      <c r="E36" s="3489"/>
      <c r="F36" s="3489"/>
      <c r="G36" s="1584" t="str">
        <f>IF(B35="场地未平整","估价结果处理","")</f>
        <v/>
      </c>
      <c r="H36" s="3490"/>
      <c r="I36" s="3490"/>
      <c r="J36" s="3039"/>
      <c r="K36" s="3026"/>
      <c r="L36" s="3018"/>
      <c r="M36" s="3018"/>
      <c r="N36" s="3019"/>
      <c r="O36" s="3020"/>
      <c r="P36" s="3019"/>
      <c r="Q36" s="3019"/>
      <c r="R36" s="3019"/>
      <c r="S36" s="3019"/>
      <c r="T36" s="3019"/>
      <c r="U36" s="3019"/>
    </row>
    <row r="37" spans="1:28" ht="28.5">
      <c r="A37" s="3478"/>
      <c r="B37" s="3508"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478"/>
      <c r="B38" s="3509"/>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479"/>
      <c r="B39" s="3510"/>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1943</v>
      </c>
      <c r="B40" s="1585"/>
      <c r="C40" s="1585"/>
      <c r="D40" s="1585"/>
      <c r="E40" s="1585"/>
      <c r="F40" s="1585"/>
      <c r="G40" s="1585"/>
      <c r="H40" s="1585"/>
      <c r="I40" s="3043"/>
      <c r="J40" s="3039"/>
      <c r="K40" s="2987">
        <f>COUNTIF(B40:H40,"——")</f>
        <v>0</v>
      </c>
      <c r="L40" s="1593" t="s">
        <v>1944</v>
      </c>
      <c r="M40" s="1590" t="s">
        <v>1945</v>
      </c>
      <c r="N40" s="1590" t="s">
        <v>1946</v>
      </c>
      <c r="O40" s="1590" t="s">
        <v>1947</v>
      </c>
      <c r="P40" s="1590" t="s">
        <v>1948</v>
      </c>
      <c r="Q40" s="1590" t="s">
        <v>1949</v>
      </c>
      <c r="R40" s="1590" t="s">
        <v>1950</v>
      </c>
      <c r="S40" s="3491" t="s">
        <v>1951</v>
      </c>
      <c r="T40" s="1624" t="str">
        <f>NUMBERSTRING(7-K40,1)&amp;"通"</f>
        <v>七通</v>
      </c>
      <c r="U40" s="3019"/>
    </row>
    <row r="41" spans="1:28">
      <c r="A41" s="1563"/>
      <c r="B41" s="3483" t="s">
        <v>1695</v>
      </c>
      <c r="C41" s="3483"/>
      <c r="D41" s="3483"/>
      <c r="E41" s="3483"/>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491"/>
      <c r="T41" s="1626" t="str">
        <f>IF(T40="一通",L41,IF(T40="二通",M41,IF(T40="三通",N41,IF(T40="四通",O41,IF(T40="五通",P41,IF(T40="六通",Q41,R41))))))</f>
        <v>、、、、、、</v>
      </c>
      <c r="U41" s="3019"/>
    </row>
    <row r="42" spans="1:28">
      <c r="A42" s="1628"/>
      <c r="B42" s="1655" t="s">
        <v>1865</v>
      </c>
      <c r="C42" s="1655" t="s">
        <v>1866</v>
      </c>
      <c r="D42" s="1655" t="s">
        <v>1867</v>
      </c>
      <c r="E42" s="1593" t="s">
        <v>1868</v>
      </c>
      <c r="F42" s="1629"/>
      <c r="G42" s="3039"/>
      <c r="H42" s="3039"/>
      <c r="I42" s="3043"/>
      <c r="J42" s="3039"/>
      <c r="K42" s="3022"/>
      <c r="L42" s="3018"/>
      <c r="M42" s="3018"/>
      <c r="N42" s="3019"/>
      <c r="O42" s="3020"/>
      <c r="P42" s="3019"/>
      <c r="Q42" s="3019"/>
      <c r="R42" s="3019"/>
      <c r="S42" s="3019"/>
      <c r="T42" s="3019"/>
      <c r="U42" s="3019"/>
    </row>
    <row r="43" spans="1:28">
      <c r="A43" s="2990" t="s">
        <v>1680</v>
      </c>
      <c r="B43" s="1630" t="s">
        <v>1388</v>
      </c>
      <c r="C43" s="1630" t="s">
        <v>1388</v>
      </c>
      <c r="D43" s="1630" t="s">
        <v>1388</v>
      </c>
      <c r="E43" s="1630"/>
      <c r="F43" s="1631"/>
      <c r="G43" s="3039"/>
      <c r="H43" s="3039"/>
      <c r="I43" s="3043"/>
      <c r="J43" s="3039"/>
      <c r="K43" s="3022"/>
      <c r="L43" s="3018"/>
      <c r="M43" s="3018"/>
      <c r="N43" s="3019"/>
      <c r="O43" s="3020"/>
      <c r="P43" s="3019"/>
      <c r="Q43" s="3019"/>
      <c r="R43" s="3019"/>
      <c r="S43" s="3019"/>
      <c r="T43" s="3019"/>
      <c r="U43" s="3019"/>
    </row>
    <row r="44" spans="1:28">
      <c r="A44" s="2990" t="s">
        <v>1681</v>
      </c>
      <c r="B44" s="1630" t="s">
        <v>3124</v>
      </c>
      <c r="C44" s="1630" t="s">
        <v>3124</v>
      </c>
      <c r="D44" s="1630" t="s">
        <v>3124</v>
      </c>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2840</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1972</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1973</v>
      </c>
      <c r="B48" s="1583" t="s">
        <v>1974</v>
      </c>
      <c r="C48" s="1583" t="s">
        <v>1975</v>
      </c>
      <c r="D48" s="1583" t="s">
        <v>1976</v>
      </c>
      <c r="E48" s="1583" t="s">
        <v>1977</v>
      </c>
      <c r="F48" s="1583" t="s">
        <v>1978</v>
      </c>
      <c r="G48" s="1583" t="s">
        <v>1979</v>
      </c>
      <c r="H48" s="1583" t="s">
        <v>1980</v>
      </c>
      <c r="I48" s="1583" t="s">
        <v>1981</v>
      </c>
      <c r="J48" s="1661" t="s">
        <v>1982</v>
      </c>
      <c r="K48" s="3032" t="s">
        <v>1983</v>
      </c>
      <c r="L48" s="3032" t="s">
        <v>1984</v>
      </c>
      <c r="M48" s="3032" t="s">
        <v>1985</v>
      </c>
      <c r="N48" s="3033" t="s">
        <v>1986</v>
      </c>
      <c r="O48" s="3033" t="s">
        <v>1987</v>
      </c>
      <c r="P48" s="3033" t="s">
        <v>1988</v>
      </c>
      <c r="Q48" s="3024" t="s">
        <v>1989</v>
      </c>
      <c r="R48" s="3024" t="s">
        <v>1990</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2297</v>
      </c>
      <c r="BA2" s="2190" t="s">
        <v>2296</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c r="B3" s="22">
        <f>IF(C3="否",G5-AT5,G5)</f>
        <v>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c r="J10" s="51"/>
      <c r="K10" s="2701"/>
      <c r="L10" s="51"/>
      <c r="M10" s="2701"/>
      <c r="N10" s="51"/>
      <c r="O10" s="66"/>
      <c r="P10" s="51"/>
      <c r="Q10" s="66"/>
      <c r="R10" s="51"/>
      <c r="S10" s="66"/>
      <c r="T10" s="51"/>
      <c r="U10" s="66"/>
      <c r="V10" s="51"/>
      <c r="W10" s="66"/>
      <c r="X10" s="51"/>
      <c r="Y10" s="66"/>
      <c r="Z10" s="51"/>
      <c r="AA10" s="66"/>
      <c r="AB10" s="51"/>
      <c r="AC10" s="55"/>
      <c r="AD10" s="2164" t="s">
        <v>2281</v>
      </c>
      <c r="AE10" s="2186"/>
      <c r="AF10" s="2164" t="s">
        <v>2281</v>
      </c>
      <c r="AG10" s="2186"/>
      <c r="AH10" s="2164" t="s">
        <v>2282</v>
      </c>
      <c r="AI10" s="2186"/>
      <c r="AJ10" s="26" t="s">
        <v>2295</v>
      </c>
      <c r="AK10" s="2183"/>
      <c r="AL10" s="2164" t="s">
        <v>2283</v>
      </c>
      <c r="AM10" s="2165"/>
      <c r="AN10" s="26" t="s">
        <v>198</v>
      </c>
      <c r="AO10" s="61"/>
      <c r="AP10" s="1152" t="s">
        <v>199</v>
      </c>
      <c r="AQ10" s="1154"/>
      <c r="AR10" s="1152" t="s">
        <v>199</v>
      </c>
      <c r="AS10" s="1154"/>
      <c r="AT10" s="45"/>
      <c r="AU10" s="45"/>
      <c r="AV10" s="55"/>
      <c r="AW10" s="973"/>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2294</v>
      </c>
      <c r="AE11" s="972"/>
      <c r="AF11" s="2184" t="s">
        <v>2294</v>
      </c>
      <c r="AG11" s="972"/>
      <c r="AH11" s="2184" t="s">
        <v>2293</v>
      </c>
      <c r="AI11" s="2185"/>
      <c r="AJ11" s="2184" t="s">
        <v>2293</v>
      </c>
      <c r="AK11" s="2183"/>
      <c r="AL11" s="970"/>
      <c r="AM11" s="972"/>
      <c r="AN11" s="970"/>
      <c r="AO11" s="972"/>
      <c r="AP11" s="1153"/>
      <c r="AQ11" s="1155"/>
      <c r="AR11" s="1153"/>
      <c r="AS11" s="1155"/>
      <c r="AT11" s="973"/>
      <c r="AU11" s="45"/>
      <c r="AV11" s="55"/>
      <c r="AW11" s="97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1652</v>
      </c>
      <c r="E13" s="27" t="e">
        <f t="shared" ref="E13:E20" si="6">IF($C$3="是",ROUND($A$3*G13/$B$3,2),ROUND($A$3*(G13-AT13)/$B$3,2))</f>
        <v>#DIV/0!</v>
      </c>
      <c r="F13" s="81"/>
      <c r="G13" s="82">
        <f t="shared" ref="G13:G20" si="7">H13+AC13+AT13</f>
        <v>0</v>
      </c>
      <c r="H13" s="33">
        <f t="shared" ref="H13:H20" si="8">SUMIF(I$12:AB$12,"总值",I13:AB13)</f>
        <v>0</v>
      </c>
      <c r="I13" s="2698"/>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t="e">
        <f t="shared" si="6"/>
        <v>#DIV/0!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t="e">
        <f t="shared" si="6"/>
        <v>#DIV/0!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t="e">
        <f t="shared" si="6"/>
        <v>#DIV/0!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t="e">
        <f t="shared" si="6"/>
        <v>#DIV/0!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t="e">
        <f t="shared" si="6"/>
        <v>#DIV/0!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t="e">
        <f t="shared" si="6"/>
        <v>#DIV/0!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t="e">
        <f t="shared" si="6"/>
        <v>#DIV/0!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t="e">
        <f t="shared" ref="E21:E112" si="33">IF($C$3="是",ROUND($A$3*G21/$B$3,2),ROUND($A$3*(G21-AT21)/$B$3,2))</f>
        <v>#DIV/0!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t="e">
        <f t="shared" si="33"/>
        <v>#DIV/0!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t="e">
        <f t="shared" si="33"/>
        <v>#DIV/0!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t="e">
        <f t="shared" si="33"/>
        <v>#DIV/0!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t="e">
        <f t="shared" si="33"/>
        <v>#DIV/0!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t="e">
        <f t="shared" si="33"/>
        <v>#DIV/0!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t="e">
        <f t="shared" si="33"/>
        <v>#DIV/0!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t="e">
        <f t="shared" si="33"/>
        <v>#DIV/0!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t="e">
        <f t="shared" si="33"/>
        <v>#DIV/0!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t="e">
        <f t="shared" si="33"/>
        <v>#DIV/0!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t="e">
        <f t="shared" si="33"/>
        <v>#DIV/0!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t="e">
        <f t="shared" si="33"/>
        <v>#DIV/0!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t="e">
        <f t="shared" si="33"/>
        <v>#DIV/0!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t="e">
        <f t="shared" si="33"/>
        <v>#DIV/0!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t="e">
        <f t="shared" si="33"/>
        <v>#DIV/0!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t="e">
        <f t="shared" si="33"/>
        <v>#DIV/0!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t="e">
        <f t="shared" si="33"/>
        <v>#DIV/0!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t="e">
        <f t="shared" si="33"/>
        <v>#DIV/0!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t="e">
        <f t="shared" si="33"/>
        <v>#DIV/0!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t="e">
        <f t="shared" si="33"/>
        <v>#DIV/0!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t="e">
        <f t="shared" si="33"/>
        <v>#DIV/0!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t="e">
        <f t="shared" si="33"/>
        <v>#DIV/0!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t="e">
        <f t="shared" si="33"/>
        <v>#DIV/0!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t="e">
        <f t="shared" si="33"/>
        <v>#DIV/0!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t="e">
        <f t="shared" si="33"/>
        <v>#DIV/0!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t="e">
        <f t="shared" si="33"/>
        <v>#DIV/0!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t="e">
        <f t="shared" si="33"/>
        <v>#DIV/0!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t="e">
        <f t="shared" si="33"/>
        <v>#DIV/0!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t="e">
        <f t="shared" si="33"/>
        <v>#DIV/0!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t="e">
        <f t="shared" si="33"/>
        <v>#DIV/0!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t="e">
        <f t="shared" si="33"/>
        <v>#DIV/0!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t="e">
        <f t="shared" si="33"/>
        <v>#DIV/0!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t="e">
        <f t="shared" si="33"/>
        <v>#DIV/0!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t="e">
        <f t="shared" si="33"/>
        <v>#DIV/0!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t="e">
        <f t="shared" si="33"/>
        <v>#DIV/0!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t="e">
        <f t="shared" ref="E113:E144" si="87">IF($C$3="是",ROUND($A$3*G113/$B$3,2),ROUND($A$3*(G113-AT113)/$B$3,2))</f>
        <v>#DIV/0!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t="e">
        <f t="shared" si="87"/>
        <v>#DIV/0!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t="e">
        <f t="shared" si="87"/>
        <v>#DIV/0!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t="e">
        <f t="shared" si="87"/>
        <v>#DIV/0!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t="e">
        <f t="shared" si="87"/>
        <v>#DIV/0!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t="e">
        <f t="shared" si="87"/>
        <v>#DIV/0!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t="e">
        <f t="shared" si="87"/>
        <v>#DIV/0!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t="e">
        <f t="shared" si="87"/>
        <v>#DIV/0!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t="e">
        <f t="shared" si="87"/>
        <v>#DIV/0!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t="e">
        <f t="shared" si="87"/>
        <v>#DIV/0!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t="e">
        <f t="shared" si="87"/>
        <v>#DIV/0!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t="e">
        <f t="shared" si="87"/>
        <v>#DIV/0!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t="e">
        <f t="shared" si="87"/>
        <v>#DIV/0!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t="e">
        <f t="shared" si="87"/>
        <v>#DIV/0!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t="e">
        <f t="shared" si="87"/>
        <v>#DIV/0!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t="e">
        <f t="shared" si="87"/>
        <v>#DIV/0!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t="e">
        <f t="shared" si="87"/>
        <v>#DIV/0!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t="e">
        <f t="shared" si="87"/>
        <v>#DIV/0!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t="e">
        <f t="shared" si="87"/>
        <v>#DIV/0!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t="e">
        <f t="shared" si="87"/>
        <v>#DIV/0!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t="e">
        <f t="shared" si="87"/>
        <v>#DIV/0!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t="e">
        <f t="shared" si="87"/>
        <v>#DIV/0!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t="e">
        <f t="shared" si="87"/>
        <v>#DIV/0!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t="e">
        <f t="shared" si="87"/>
        <v>#DIV/0!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t="e">
        <f t="shared" si="87"/>
        <v>#DIV/0!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t="e">
        <f t="shared" si="87"/>
        <v>#DIV/0!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t="e">
        <f t="shared" si="87"/>
        <v>#DIV/0!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t="e">
        <f t="shared" si="87"/>
        <v>#DIV/0!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t="e">
        <f t="shared" si="87"/>
        <v>#DIV/0!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t="e">
        <f t="shared" si="87"/>
        <v>#DIV/0!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t="e">
        <f t="shared" si="87"/>
        <v>#DIV/0!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t="e">
        <f t="shared" si="87"/>
        <v>#DIV/0!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t="e">
        <f t="shared" ref="E145:E176" si="116">IF($C$3="是",ROUND($A$3*G145/$B$3,2),ROUND($A$3*(G145-AT145)/$B$3,2))</f>
        <v>#DIV/0!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t="e">
        <f t="shared" si="116"/>
        <v>#DIV/0!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t="e">
        <f t="shared" si="116"/>
        <v>#DIV/0!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t="e">
        <f t="shared" ref="E205:E296" si="149">IF($C$3="是",ROUND($A$3*G205/$B$3,2),ROUND($A$3*(G205-AT205)/$B$3,2))</f>
        <v>#DIV/0!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t="e">
        <f t="shared" si="149"/>
        <v>#DIV/0!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t="e">
        <f t="shared" si="149"/>
        <v>#DIV/0!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t="e">
        <f t="shared" si="149"/>
        <v>#DIV/0!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t="e">
        <f t="shared" si="149"/>
        <v>#DIV/0!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t="e">
        <f t="shared" si="149"/>
        <v>#DIV/0!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t="e">
        <f t="shared" si="149"/>
        <v>#DIV/0!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t="e">
        <f t="shared" si="149"/>
        <v>#DIV/0!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t="e">
        <f t="shared" si="149"/>
        <v>#DIV/0!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t="e">
        <f t="shared" si="149"/>
        <v>#DIV/0!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t="e">
        <f t="shared" si="149"/>
        <v>#DIV/0!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t="e">
        <f t="shared" si="149"/>
        <v>#DIV/0!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t="e">
        <f t="shared" si="149"/>
        <v>#DIV/0!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t="e">
        <f t="shared" si="149"/>
        <v>#DIV/0!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t="e">
        <f t="shared" si="149"/>
        <v>#DIV/0!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t="e">
        <f t="shared" si="149"/>
        <v>#DIV/0!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t="e">
        <f t="shared" si="149"/>
        <v>#DIV/0!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t="e">
        <f t="shared" si="149"/>
        <v>#DIV/0!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t="e">
        <f t="shared" si="149"/>
        <v>#DIV/0!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t="e">
        <f t="shared" si="149"/>
        <v>#DIV/0!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t="e">
        <f t="shared" si="149"/>
        <v>#DIV/0!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t="e">
        <f t="shared" si="149"/>
        <v>#DIV/0!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t="e">
        <f t="shared" si="149"/>
        <v>#DIV/0!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t="e">
        <f t="shared" si="149"/>
        <v>#DIV/0!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t="e">
        <f t="shared" si="149"/>
        <v>#DIV/0!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t="e">
        <f t="shared" si="149"/>
        <v>#DIV/0!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t="e">
        <f t="shared" si="149"/>
        <v>#DIV/0!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t="e">
        <f t="shared" si="149"/>
        <v>#DIV/0!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t="e">
        <f t="shared" si="149"/>
        <v>#DIV/0!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t="e">
        <f t="shared" si="149"/>
        <v>#DIV/0!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t="e">
        <f t="shared" si="149"/>
        <v>#DIV/0!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t="e">
        <f t="shared" si="149"/>
        <v>#DIV/0!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t="e">
        <f t="shared" si="149"/>
        <v>#DIV/0!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t="e">
        <f t="shared" si="149"/>
        <v>#DIV/0!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t="e">
        <f t="shared" si="149"/>
        <v>#DIV/0!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t="e">
        <f t="shared" ref="E297:E328" si="203">IF($C$3="是",ROUND($A$3*G297/$B$3,2),ROUND($A$3*(G297-AT297)/$B$3,2))</f>
        <v>#DIV/0!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t="e">
        <f t="shared" si="203"/>
        <v>#DIV/0!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t="e">
        <f t="shared" si="203"/>
        <v>#DIV/0!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t="e">
        <f t="shared" si="203"/>
        <v>#DIV/0!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t="e">
        <f t="shared" si="203"/>
        <v>#DIV/0!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t="e">
        <f t="shared" si="203"/>
        <v>#DIV/0!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t="e">
        <f t="shared" si="203"/>
        <v>#DIV/0!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t="e">
        <f t="shared" si="203"/>
        <v>#DIV/0!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t="e">
        <f t="shared" si="203"/>
        <v>#DIV/0!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t="e">
        <f t="shared" si="203"/>
        <v>#DIV/0!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t="e">
        <f t="shared" si="203"/>
        <v>#DIV/0!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t="e">
        <f t="shared" si="203"/>
        <v>#DIV/0!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t="e">
        <f t="shared" si="203"/>
        <v>#DIV/0!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t="e">
        <f t="shared" si="203"/>
        <v>#DIV/0!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t="e">
        <f t="shared" si="203"/>
        <v>#DIV/0!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t="e">
        <f t="shared" si="203"/>
        <v>#DIV/0!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t="e">
        <f t="shared" si="203"/>
        <v>#DIV/0!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t="e">
        <f t="shared" si="203"/>
        <v>#DIV/0!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t="e">
        <f t="shared" si="203"/>
        <v>#DIV/0!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t="e">
        <f t="shared" si="203"/>
        <v>#DIV/0!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t="e">
        <f t="shared" si="203"/>
        <v>#DIV/0!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t="e">
        <f t="shared" si="203"/>
        <v>#DIV/0!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t="e">
        <f t="shared" si="203"/>
        <v>#DIV/0!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t="e">
        <f t="shared" si="203"/>
        <v>#DIV/0!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t="e">
        <f t="shared" si="203"/>
        <v>#DIV/0!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t="e">
        <f t="shared" si="203"/>
        <v>#DIV/0!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t="e">
        <f t="shared" si="203"/>
        <v>#DIV/0!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t="e">
        <f t="shared" si="203"/>
        <v>#DIV/0!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t="e">
        <f t="shared" si="203"/>
        <v>#DIV/0!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t="e">
        <f t="shared" si="203"/>
        <v>#DIV/0!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t="e">
        <f t="shared" si="203"/>
        <v>#DIV/0!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t="e">
        <f t="shared" si="203"/>
        <v>#DIV/0!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t="e">
        <f t="shared" ref="E329:E360" si="232">IF($C$3="是",ROUND($A$3*G329/$B$3,2),ROUND($A$3*(G329-AT329)/$B$3,2))</f>
        <v>#DIV/0!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t="e">
        <f t="shared" si="232"/>
        <v>#DIV/0!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t="e">
        <f t="shared" si="232"/>
        <v>#DIV/0!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t="e">
        <f t="shared" ref="E389:E480" si="265">IF($C$3="是",ROUND($A$3*G389/$B$3,2),ROUND($A$3*(G389-AT389)/$B$3,2))</f>
        <v>#DIV/0!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t="e">
        <f t="shared" si="265"/>
        <v>#DIV/0!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t="e">
        <f t="shared" si="265"/>
        <v>#DIV/0!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t="e">
        <f t="shared" si="265"/>
        <v>#DIV/0!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t="e">
        <f t="shared" si="265"/>
        <v>#DIV/0!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t="e">
        <f t="shared" si="265"/>
        <v>#DIV/0!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t="e">
        <f t="shared" si="265"/>
        <v>#DIV/0!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t="e">
        <f t="shared" si="265"/>
        <v>#DIV/0!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t="e">
        <f t="shared" si="265"/>
        <v>#DIV/0!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t="e">
        <f t="shared" si="265"/>
        <v>#DIV/0!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t="e">
        <f t="shared" si="265"/>
        <v>#DIV/0!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t="e">
        <f t="shared" si="265"/>
        <v>#DIV/0!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t="e">
        <f t="shared" si="265"/>
        <v>#DIV/0!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t="e">
        <f t="shared" si="265"/>
        <v>#DIV/0!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t="e">
        <f t="shared" si="265"/>
        <v>#DIV/0!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t="e">
        <f t="shared" si="265"/>
        <v>#DIV/0!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t="e">
        <f t="shared" si="265"/>
        <v>#DIV/0!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t="e">
        <f t="shared" si="265"/>
        <v>#DIV/0!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t="e">
        <f t="shared" si="265"/>
        <v>#DIV/0!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t="e">
        <f t="shared" si="265"/>
        <v>#DIV/0!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t="e">
        <f t="shared" si="265"/>
        <v>#DIV/0!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t="e">
        <f t="shared" si="265"/>
        <v>#DIV/0!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t="e">
        <f t="shared" si="265"/>
        <v>#DIV/0!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t="e">
        <f t="shared" si="265"/>
        <v>#DIV/0!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t="e">
        <f t="shared" si="265"/>
        <v>#DIV/0!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t="e">
        <f t="shared" si="265"/>
        <v>#DIV/0!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t="e">
        <f t="shared" si="265"/>
        <v>#DIV/0!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t="e">
        <f t="shared" si="265"/>
        <v>#DIV/0!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t="e">
        <f t="shared" si="265"/>
        <v>#DIV/0!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t="e">
        <f t="shared" si="265"/>
        <v>#DIV/0!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t="e">
        <f t="shared" si="265"/>
        <v>#DIV/0!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t="e">
        <f t="shared" si="265"/>
        <v>#DIV/0!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t="e">
        <f t="shared" si="265"/>
        <v>#DIV/0!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t="e">
        <f t="shared" si="265"/>
        <v>#DIV/0!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t="e">
        <f t="shared" si="265"/>
        <v>#DIV/0!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t="e">
        <f t="shared" ref="E481:E504" si="319">IF($C$3="是",ROUND($A$3*G481/$B$3,2),ROUND($A$3*(G481-AT481)/$B$3,2))</f>
        <v>#DIV/0!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t="e">
        <f t="shared" si="319"/>
        <v>#DIV/0!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t="e">
        <f t="shared" si="319"/>
        <v>#DIV/0!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t="e">
        <f t="shared" si="319"/>
        <v>#DIV/0!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t="e">
        <f t="shared" si="319"/>
        <v>#DIV/0!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t="e">
        <f t="shared" si="319"/>
        <v>#DIV/0!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t="e">
        <f t="shared" si="319"/>
        <v>#DIV/0!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t="e">
        <f t="shared" si="319"/>
        <v>#DIV/0!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t="e">
        <f t="shared" si="319"/>
        <v>#DIV/0!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t="e">
        <f t="shared" si="319"/>
        <v>#DIV/0!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t="e">
        <f t="shared" si="319"/>
        <v>#DIV/0!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t="e">
        <f t="shared" si="319"/>
        <v>#DIV/0!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t="e">
        <f t="shared" si="319"/>
        <v>#DIV/0!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t="e">
        <f t="shared" si="319"/>
        <v>#DIV/0!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t="e">
        <f t="shared" si="319"/>
        <v>#DIV/0!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t="e">
        <f t="shared" si="319"/>
        <v>#DIV/0!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t="e">
        <f t="shared" si="319"/>
        <v>#DIV/0!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t="e">
        <f t="shared" si="319"/>
        <v>#DIV/0!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t="e">
        <f t="shared" si="319"/>
        <v>#DIV/0!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t="e">
        <f t="shared" si="319"/>
        <v>#DIV/0!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t="e">
        <f t="shared" si="319"/>
        <v>#DIV/0!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t="e">
        <f t="shared" si="319"/>
        <v>#DIV/0!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t="e">
        <f t="shared" si="319"/>
        <v>#DIV/0!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t="e">
        <f t="shared" si="319"/>
        <v>#DIV/0!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t="e">
        <f t="shared" ref="E505:E536" si="323">IF($C$3="是",ROUND($A$3*G505/$B$3,2),ROUND($A$3*(G505-AT505)/$B$3,2))</f>
        <v>#DIV/0!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t="e">
        <f t="shared" si="323"/>
        <v>#DIV/0!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t="e">
        <f t="shared" si="323"/>
        <v>#DIV/0!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t="e">
        <f t="shared" si="323"/>
        <v>#DIV/0!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t="e">
        <f t="shared" si="323"/>
        <v>#DIV/0!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t="e">
        <f t="shared" si="323"/>
        <v>#DIV/0!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t="e">
        <f t="shared" si="323"/>
        <v>#DIV/0!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t="e">
        <f t="shared" si="323"/>
        <v>#DIV/0!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t="e">
        <f t="shared" si="323"/>
        <v>#DIV/0!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t="e">
        <f t="shared" si="323"/>
        <v>#DIV/0!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t="e">
        <f t="shared" si="323"/>
        <v>#DIV/0!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9" t="s">
        <v>0</v>
      </c>
      <c r="B1" s="3519" t="s">
        <v>4</v>
      </c>
      <c r="C1" s="3519" t="s">
        <v>5</v>
      </c>
      <c r="D1" s="3520" t="s">
        <v>40</v>
      </c>
      <c r="E1" s="3520" t="s">
        <v>41</v>
      </c>
      <c r="F1" s="3520"/>
      <c r="G1" s="3520"/>
      <c r="H1" s="3520"/>
      <c r="I1" s="3520"/>
      <c r="J1" s="3520"/>
      <c r="K1" s="3520"/>
      <c r="L1" s="3520"/>
      <c r="M1" s="3520"/>
    </row>
    <row r="2" spans="1:13" ht="27" customHeight="1">
      <c r="A2" s="3519"/>
      <c r="B2" s="3519"/>
      <c r="C2" s="3519"/>
      <c r="D2" s="3520"/>
      <c r="E2" s="3520" t="s">
        <v>24</v>
      </c>
      <c r="F2" s="3520" t="s">
        <v>25</v>
      </c>
      <c r="G2" s="3520"/>
      <c r="H2" s="3520"/>
      <c r="I2" s="3520"/>
      <c r="J2" s="3520" t="s">
        <v>26</v>
      </c>
      <c r="K2" s="3520"/>
      <c r="L2" s="3520"/>
      <c r="M2" s="3520"/>
    </row>
    <row r="3" spans="1:13" ht="28.5">
      <c r="A3" s="3519"/>
      <c r="B3" s="3519"/>
      <c r="C3" s="3519"/>
      <c r="D3" s="3520"/>
      <c r="E3" s="35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0" t="s">
        <v>42</v>
      </c>
      <c r="B9" s="3520"/>
      <c r="C9" s="35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30" t="s">
        <v>203</v>
      </c>
      <c r="B2" s="3530"/>
      <c r="C2" s="3530"/>
      <c r="D2" s="1860" t="s">
        <v>204</v>
      </c>
      <c r="E2" s="106" t="s">
        <v>205</v>
      </c>
      <c r="F2" s="3048"/>
      <c r="G2" s="1163"/>
      <c r="H2" s="1164"/>
      <c r="I2" s="1165" t="s">
        <v>833</v>
      </c>
      <c r="J2" s="3048"/>
      <c r="K2" s="3048"/>
      <c r="L2" s="3048"/>
      <c r="M2" s="3048"/>
      <c r="N2" s="3048"/>
      <c r="O2" s="3048"/>
      <c r="P2" s="3048"/>
    </row>
    <row r="3" spans="1:16" ht="15.75" thickBot="1">
      <c r="A3" s="3531" t="s">
        <v>206</v>
      </c>
      <c r="B3" s="3531"/>
      <c r="C3" s="3531"/>
      <c r="D3" s="107" t="e">
        <f>'数据-基础表'!AY6</f>
        <v>#DIV/0!</v>
      </c>
      <c r="E3" s="107">
        <f>'数据-基础表'!AZ5</f>
        <v>0</v>
      </c>
      <c r="F3" s="3048"/>
      <c r="G3" s="278" t="s">
        <v>834</v>
      </c>
      <c r="H3" s="273" t="s">
        <v>835</v>
      </c>
      <c r="I3" s="1861" t="e">
        <f>ROUND('数据-基础表'!B3/'数据-基础表'!A3,2)</f>
        <v>#DIV/0!</v>
      </c>
      <c r="J3" s="3048"/>
      <c r="K3" s="3048"/>
      <c r="L3" s="3048"/>
      <c r="M3" s="3048"/>
      <c r="N3" s="3048"/>
      <c r="O3" s="3048"/>
      <c r="P3" s="3048"/>
    </row>
    <row r="4" spans="1:16" ht="15">
      <c r="A4" s="3532"/>
      <c r="B4" s="3533"/>
      <c r="C4" s="3534"/>
      <c r="D4" s="108" t="s">
        <v>204</v>
      </c>
      <c r="E4" s="109" t="s">
        <v>205</v>
      </c>
      <c r="F4" s="3048"/>
      <c r="G4" s="1166"/>
      <c r="H4" s="273" t="s">
        <v>836</v>
      </c>
      <c r="I4" s="1861" t="e">
        <f>ROUND(SUMIF('数据-基础表'!I9:AS9,"地上",'数据-基础表'!I5:AS5)/'数据-基础表'!A3,2)</f>
        <v>#DIV/0!</v>
      </c>
      <c r="J4" s="3048"/>
      <c r="K4" s="3048"/>
      <c r="L4" s="3048"/>
      <c r="M4" s="3048"/>
      <c r="N4" s="3048"/>
      <c r="O4" s="3048"/>
      <c r="P4" s="3048"/>
    </row>
    <row r="5" spans="1:16">
      <c r="A5" s="110" t="s">
        <v>207</v>
      </c>
      <c r="B5" s="3535" t="s">
        <v>230</v>
      </c>
      <c r="C5" s="3535"/>
      <c r="D5" s="111" t="e">
        <f>ROUND($D$3*E5/$E$3,2)</f>
        <v>#DIV/0!</v>
      </c>
      <c r="E5" s="112">
        <f>SUMIF('数据-基础表'!$11:$11,"住宅",'数据-基础表'!$5:$5)</f>
        <v>0</v>
      </c>
      <c r="F5" s="3048"/>
      <c r="G5" s="278" t="s">
        <v>837</v>
      </c>
      <c r="H5" s="273" t="s">
        <v>835</v>
      </c>
      <c r="I5" s="1861" t="e">
        <f>ROUND(E31/D31,2)</f>
        <v>#DIV/0!</v>
      </c>
      <c r="J5" s="3048"/>
      <c r="K5" s="3048"/>
      <c r="L5" s="3048"/>
      <c r="M5" s="3048"/>
      <c r="N5" s="3048"/>
      <c r="O5" s="3048"/>
      <c r="P5" s="3048"/>
    </row>
    <row r="6" spans="1:16" ht="15" thickBot="1">
      <c r="A6" s="113"/>
      <c r="B6" s="3535" t="s">
        <v>208</v>
      </c>
      <c r="C6" s="3535"/>
      <c r="D6" s="111" t="e">
        <f>ROUND($D$3*E6/$E$3,2)</f>
        <v>#DIV/0!</v>
      </c>
      <c r="E6" s="112">
        <f>E3-E5</f>
        <v>0</v>
      </c>
      <c r="F6" s="3048"/>
      <c r="G6" s="1166"/>
      <c r="H6" s="273" t="s">
        <v>836</v>
      </c>
      <c r="I6" s="1861" t="e">
        <f>ROUND(F31/D31,2)</f>
        <v>#DIV/0!</v>
      </c>
      <c r="J6" s="3048"/>
      <c r="K6" s="3048"/>
      <c r="L6" s="3048"/>
      <c r="M6" s="3048"/>
      <c r="N6" s="3048"/>
      <c r="O6" s="3048"/>
      <c r="P6" s="3048"/>
    </row>
    <row r="7" spans="1:16" ht="15">
      <c r="A7" s="3527"/>
      <c r="B7" s="3528"/>
      <c r="C7" s="3529"/>
      <c r="D7" s="108" t="s">
        <v>204</v>
      </c>
      <c r="E7" s="114" t="s">
        <v>231</v>
      </c>
      <c r="F7" s="3048"/>
      <c r="G7" s="1121" t="s">
        <v>1619</v>
      </c>
      <c r="H7" s="1122"/>
      <c r="I7" s="1732"/>
      <c r="J7" s="3048"/>
      <c r="K7" s="3048"/>
      <c r="L7" s="3048"/>
      <c r="M7" s="3048"/>
      <c r="N7" s="3048"/>
      <c r="O7" s="3048"/>
      <c r="P7" s="3048"/>
    </row>
    <row r="8" spans="1:16">
      <c r="A8" s="110" t="s">
        <v>209</v>
      </c>
      <c r="B8" s="115" t="s">
        <v>210</v>
      </c>
      <c r="C8" s="111" t="s">
        <v>211</v>
      </c>
      <c r="D8" s="111" t="e">
        <f t="shared" ref="D8:D15" si="0">ROUND($D$3*E8/$E$3,2)</f>
        <v>#DIV/0!</v>
      </c>
      <c r="E8" s="116">
        <f>SUMIF('数据-基础表'!BB10:BK10,"地上",'数据-基础表'!BB5:BK5)</f>
        <v>0</v>
      </c>
      <c r="F8" s="3048"/>
      <c r="G8" s="3049"/>
      <c r="H8" s="3049"/>
      <c r="I8" s="3048"/>
      <c r="J8" s="3048"/>
      <c r="K8" s="3048"/>
      <c r="L8" s="3048"/>
      <c r="M8" s="3048"/>
      <c r="N8" s="3048"/>
      <c r="O8" s="3048"/>
      <c r="P8" s="3048"/>
    </row>
    <row r="9" spans="1:16">
      <c r="A9" s="117"/>
      <c r="B9" s="118"/>
      <c r="C9" s="111" t="s">
        <v>212</v>
      </c>
      <c r="D9" s="111" t="e">
        <f t="shared" si="0"/>
        <v>#DIV/0!</v>
      </c>
      <c r="E9" s="119">
        <v>0</v>
      </c>
      <c r="F9" s="3048"/>
      <c r="G9" s="3049"/>
      <c r="H9" s="3049"/>
      <c r="I9" s="3048"/>
      <c r="J9" s="3048"/>
      <c r="K9" s="3048"/>
      <c r="L9" s="3048"/>
      <c r="M9" s="3048"/>
      <c r="N9" s="3048"/>
      <c r="O9" s="3048"/>
      <c r="P9" s="3048"/>
    </row>
    <row r="10" spans="1:16">
      <c r="A10" s="117"/>
      <c r="B10" s="118"/>
      <c r="C10" s="111" t="s">
        <v>213</v>
      </c>
      <c r="D10" s="111" t="e">
        <f t="shared" si="0"/>
        <v>#DIV/0!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2291</v>
      </c>
      <c r="D11" s="111" t="e">
        <f t="shared" si="0"/>
        <v>#DIV/0!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t="e">
        <f t="shared" si="0"/>
        <v>#DIV/0!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2298</v>
      </c>
      <c r="D13" s="111" t="e">
        <f t="shared" si="0"/>
        <v>#DIV/0!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t="e">
        <f t="shared" si="0"/>
        <v>#DIV/0!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t="e">
        <f t="shared" si="0"/>
        <v>#DIV/0!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t="e">
        <f>SUM(D8:D15)</f>
        <v>#DIV/0!</v>
      </c>
      <c r="E16" s="120">
        <f>SUM(E8:E15)</f>
        <v>0</v>
      </c>
      <c r="F16" s="3048"/>
      <c r="G16" s="3049"/>
      <c r="H16" s="938" t="s">
        <v>219</v>
      </c>
      <c r="I16" s="939"/>
      <c r="J16" s="1869"/>
      <c r="K16" s="3521" t="s">
        <v>2519</v>
      </c>
      <c r="L16" s="3522"/>
      <c r="M16" s="3522"/>
      <c r="N16" s="3522"/>
      <c r="O16" s="3522"/>
      <c r="P16" s="3523"/>
    </row>
    <row r="17" spans="1:19" ht="15">
      <c r="A17" s="121" t="s">
        <v>216</v>
      </c>
      <c r="B17" s="122" t="s">
        <v>217</v>
      </c>
      <c r="C17" s="2148" t="s">
        <v>2277</v>
      </c>
      <c r="D17" s="108" t="s">
        <v>204</v>
      </c>
      <c r="E17" s="124" t="s">
        <v>205</v>
      </c>
      <c r="F17" s="125"/>
      <c r="G17" s="1293"/>
      <c r="H17" s="940" t="s">
        <v>218</v>
      </c>
      <c r="I17" s="941" t="s">
        <v>2276</v>
      </c>
      <c r="J17" s="1869"/>
      <c r="K17" s="3524" t="s">
        <v>2520</v>
      </c>
      <c r="L17" s="3525"/>
      <c r="M17" s="3526"/>
      <c r="N17" s="3524" t="s">
        <v>2521</v>
      </c>
      <c r="O17" s="3525"/>
      <c r="P17" s="3526"/>
      <c r="R17" s="2149" t="s">
        <v>2275</v>
      </c>
      <c r="S17" s="142"/>
    </row>
    <row r="18" spans="1:19" ht="15">
      <c r="A18" s="117"/>
      <c r="B18" s="128"/>
      <c r="C18" s="129"/>
      <c r="D18" s="2451"/>
      <c r="E18" s="130" t="s">
        <v>220</v>
      </c>
      <c r="F18" s="131" t="s">
        <v>221</v>
      </c>
      <c r="G18" s="1294" t="s">
        <v>222</v>
      </c>
      <c r="H18" s="942" t="s">
        <v>223</v>
      </c>
      <c r="I18" s="943" t="s">
        <v>224</v>
      </c>
      <c r="J18" s="1869"/>
      <c r="K18" s="2416" t="s">
        <v>2522</v>
      </c>
      <c r="L18" s="2417" t="s">
        <v>2523</v>
      </c>
      <c r="M18" s="2418" t="s">
        <v>2524</v>
      </c>
      <c r="N18" s="2416" t="s">
        <v>2522</v>
      </c>
      <c r="O18" s="2417" t="s">
        <v>2523</v>
      </c>
      <c r="P18" s="2418" t="s">
        <v>2524</v>
      </c>
      <c r="R18" s="2150" t="s">
        <v>2273</v>
      </c>
      <c r="S18" s="2150" t="s">
        <v>2274</v>
      </c>
    </row>
    <row r="19" spans="1:19">
      <c r="A19" s="133"/>
      <c r="B19" s="115" t="s">
        <v>225</v>
      </c>
      <c r="C19" s="2705"/>
      <c r="D19" s="111" t="e">
        <f t="shared" ref="D19:D26" si="1">ROUND($D$3*E19/$E$3,2)</f>
        <v>#DIV/0!</v>
      </c>
      <c r="E19" s="134">
        <f t="shared" ref="E19:E26" si="2">SUM(F19:G19)</f>
        <v>0</v>
      </c>
      <c r="F19" s="3050"/>
      <c r="G19" s="3051"/>
      <c r="H19" s="944" t="e">
        <f>ROUND($D$3*I19/$E$3,2)</f>
        <v>#DIV/0!</v>
      </c>
      <c r="I19" s="116" t="e">
        <f>IF($I$17="自定义",P19,M19)</f>
        <v>#DIV/0!</v>
      </c>
      <c r="J19" s="1869"/>
      <c r="K19" s="2419" t="e">
        <f t="shared" ref="K19:K26" si="3">ROUND(E$28*E19/E$27,2)</f>
        <v>#DIV/0!</v>
      </c>
      <c r="L19" s="273">
        <f t="shared" ref="L19:L26" si="4">ROUND(IF(COUNTIF(C19,"*住宅*")&gt;0,E$29*E19/E$32,0),2)</f>
        <v>0</v>
      </c>
      <c r="M19" s="2420" t="e">
        <f>K19+L19</f>
        <v>#DIV/0!</v>
      </c>
      <c r="N19" s="2421"/>
      <c r="O19" s="2422"/>
      <c r="P19" s="2423">
        <f>N19+O19</f>
        <v>0</v>
      </c>
      <c r="R19" s="273" t="e">
        <f t="shared" ref="R19:S26" si="5">D19+H19</f>
        <v>#DIV/0!</v>
      </c>
      <c r="S19" s="2151" t="e">
        <f t="shared" si="5"/>
        <v>#DIV/0!</v>
      </c>
    </row>
    <row r="20" spans="1:19">
      <c r="A20" s="137"/>
      <c r="B20" s="115" t="s">
        <v>226</v>
      </c>
      <c r="C20" s="2705"/>
      <c r="D20" s="111" t="e">
        <f t="shared" si="1"/>
        <v>#DIV/0!</v>
      </c>
      <c r="E20" s="134">
        <f t="shared" si="2"/>
        <v>0</v>
      </c>
      <c r="F20" s="3050"/>
      <c r="G20" s="3051"/>
      <c r="H20" s="944" t="e">
        <f t="shared" ref="H20:H26" si="6">ROUND($D$3*I20/$E$3,2)</f>
        <v>#DIV/0!</v>
      </c>
      <c r="I20" s="116" t="e">
        <f t="shared" ref="I20:I26" si="7">IF($I$17="自定义",P20,M20)</f>
        <v>#DIV/0!</v>
      </c>
      <c r="J20" s="1869"/>
      <c r="K20" s="2419" t="e">
        <f t="shared" si="3"/>
        <v>#DIV/0!</v>
      </c>
      <c r="L20" s="273">
        <f t="shared" si="4"/>
        <v>0</v>
      </c>
      <c r="M20" s="2420" t="e">
        <f t="shared" ref="M20:M26" si="8">K20+L20</f>
        <v>#DIV/0!</v>
      </c>
      <c r="N20" s="2421"/>
      <c r="O20" s="2422"/>
      <c r="P20" s="2423">
        <f t="shared" ref="P20:P26" si="9">N20+O20</f>
        <v>0</v>
      </c>
      <c r="R20" s="273" t="e">
        <f t="shared" si="5"/>
        <v>#DIV/0!</v>
      </c>
      <c r="S20" s="2151" t="e">
        <f t="shared" si="5"/>
        <v>#DIV/0!</v>
      </c>
    </row>
    <row r="21" spans="1:19">
      <c r="A21" s="137"/>
      <c r="B21" s="115" t="s">
        <v>226</v>
      </c>
      <c r="C21" s="2705"/>
      <c r="D21" s="111" t="e">
        <f t="shared" si="1"/>
        <v>#DIV/0!</v>
      </c>
      <c r="E21" s="134">
        <f t="shared" si="2"/>
        <v>0</v>
      </c>
      <c r="F21" s="3050"/>
      <c r="G21" s="3051"/>
      <c r="H21" s="944" t="e">
        <f t="shared" si="6"/>
        <v>#DIV/0!</v>
      </c>
      <c r="I21" s="116" t="e">
        <f t="shared" si="7"/>
        <v>#DIV/0!</v>
      </c>
      <c r="J21" s="1869"/>
      <c r="K21" s="2419" t="e">
        <f t="shared" si="3"/>
        <v>#DIV/0!</v>
      </c>
      <c r="L21" s="273">
        <f t="shared" si="4"/>
        <v>0</v>
      </c>
      <c r="M21" s="2420" t="e">
        <f t="shared" si="8"/>
        <v>#DIV/0!</v>
      </c>
      <c r="N21" s="2421"/>
      <c r="O21" s="2422"/>
      <c r="P21" s="2423">
        <f t="shared" si="9"/>
        <v>0</v>
      </c>
      <c r="R21" s="273" t="e">
        <f t="shared" si="5"/>
        <v>#DIV/0!</v>
      </c>
      <c r="S21" s="2151" t="e">
        <f t="shared" si="5"/>
        <v>#DIV/0!</v>
      </c>
    </row>
    <row r="22" spans="1:19">
      <c r="A22" s="137"/>
      <c r="B22" s="115" t="s">
        <v>226</v>
      </c>
      <c r="C22" s="1292"/>
      <c r="D22" s="111" t="e">
        <f t="shared" si="1"/>
        <v>#DIV/0!</v>
      </c>
      <c r="E22" s="134">
        <f t="shared" si="2"/>
        <v>0</v>
      </c>
      <c r="F22" s="3052"/>
      <c r="G22" s="3053"/>
      <c r="H22" s="944" t="e">
        <f t="shared" si="6"/>
        <v>#DIV/0!</v>
      </c>
      <c r="I22" s="116" t="e">
        <f t="shared" si="7"/>
        <v>#DIV/0!</v>
      </c>
      <c r="J22" s="1869"/>
      <c r="K22" s="2419" t="e">
        <f t="shared" si="3"/>
        <v>#DIV/0!</v>
      </c>
      <c r="L22" s="273">
        <f t="shared" si="4"/>
        <v>0</v>
      </c>
      <c r="M22" s="2420" t="e">
        <f t="shared" si="8"/>
        <v>#DIV/0!</v>
      </c>
      <c r="N22" s="2421"/>
      <c r="O22" s="2422"/>
      <c r="P22" s="2423">
        <f t="shared" si="9"/>
        <v>0</v>
      </c>
      <c r="R22" s="273" t="e">
        <f t="shared" si="5"/>
        <v>#DIV/0!</v>
      </c>
      <c r="S22" s="2151" t="e">
        <f t="shared" si="5"/>
        <v>#DIV/0!</v>
      </c>
    </row>
    <row r="23" spans="1:19">
      <c r="A23" s="137"/>
      <c r="B23" s="115" t="s">
        <v>226</v>
      </c>
      <c r="C23" s="138"/>
      <c r="D23" s="111" t="e">
        <f>ROUND($D$3*E23/$E$3,2)</f>
        <v>#DIV/0!</v>
      </c>
      <c r="E23" s="134">
        <f>SUM(F23:G23)</f>
        <v>0</v>
      </c>
      <c r="F23" s="3052"/>
      <c r="G23" s="3053"/>
      <c r="H23" s="944" t="e">
        <f>ROUND($D$3*I23/$E$3,2)</f>
        <v>#DIV/0!</v>
      </c>
      <c r="I23" s="116" t="e">
        <f t="shared" si="7"/>
        <v>#DIV/0!</v>
      </c>
      <c r="J23" s="1869"/>
      <c r="K23" s="2419" t="e">
        <f t="shared" si="3"/>
        <v>#DIV/0!</v>
      </c>
      <c r="L23" s="273">
        <f t="shared" si="4"/>
        <v>0</v>
      </c>
      <c r="M23" s="2420" t="e">
        <f t="shared" si="8"/>
        <v>#DIV/0!</v>
      </c>
      <c r="N23" s="2421"/>
      <c r="O23" s="2422"/>
      <c r="P23" s="2423">
        <f t="shared" si="9"/>
        <v>0</v>
      </c>
      <c r="R23" s="273" t="e">
        <f t="shared" si="5"/>
        <v>#DIV/0!</v>
      </c>
      <c r="S23" s="2151" t="e">
        <f t="shared" si="5"/>
        <v>#DIV/0!</v>
      </c>
    </row>
    <row r="24" spans="1:19">
      <c r="A24" s="137"/>
      <c r="B24" s="115" t="s">
        <v>226</v>
      </c>
      <c r="C24" s="138"/>
      <c r="D24" s="111" t="e">
        <f>ROUND($D$3*E24/$E$3,2)</f>
        <v>#DIV/0!</v>
      </c>
      <c r="E24" s="134">
        <f>SUM(F24:G24)</f>
        <v>0</v>
      </c>
      <c r="F24" s="3052"/>
      <c r="G24" s="3053"/>
      <c r="H24" s="944" t="e">
        <f>ROUND($D$3*I24/$E$3,2)</f>
        <v>#DIV/0!</v>
      </c>
      <c r="I24" s="116" t="e">
        <f t="shared" si="7"/>
        <v>#DIV/0!</v>
      </c>
      <c r="J24" s="1869"/>
      <c r="K24" s="2419" t="e">
        <f t="shared" si="3"/>
        <v>#DIV/0!</v>
      </c>
      <c r="L24" s="273">
        <f t="shared" si="4"/>
        <v>0</v>
      </c>
      <c r="M24" s="2420" t="e">
        <f t="shared" si="8"/>
        <v>#DIV/0!</v>
      </c>
      <c r="N24" s="2421"/>
      <c r="O24" s="2422"/>
      <c r="P24" s="2423">
        <f t="shared" si="9"/>
        <v>0</v>
      </c>
      <c r="R24" s="273" t="e">
        <f t="shared" si="5"/>
        <v>#DIV/0!</v>
      </c>
      <c r="S24" s="2151" t="e">
        <f t="shared" si="5"/>
        <v>#DIV/0!</v>
      </c>
    </row>
    <row r="25" spans="1:19">
      <c r="A25" s="137"/>
      <c r="B25" s="115" t="s">
        <v>226</v>
      </c>
      <c r="C25" s="138"/>
      <c r="D25" s="111" t="e">
        <f t="shared" si="1"/>
        <v>#DIV/0!</v>
      </c>
      <c r="E25" s="134">
        <f t="shared" si="2"/>
        <v>0</v>
      </c>
      <c r="F25" s="3052"/>
      <c r="G25" s="3053"/>
      <c r="H25" s="110" t="e">
        <f t="shared" si="6"/>
        <v>#DIV/0!</v>
      </c>
      <c r="I25" s="116" t="e">
        <f t="shared" si="7"/>
        <v>#DIV/0!</v>
      </c>
      <c r="J25" s="1869"/>
      <c r="K25" s="2419" t="e">
        <f t="shared" si="3"/>
        <v>#DIV/0!</v>
      </c>
      <c r="L25" s="273">
        <f t="shared" si="4"/>
        <v>0</v>
      </c>
      <c r="M25" s="2420" t="e">
        <f t="shared" si="8"/>
        <v>#DIV/0!</v>
      </c>
      <c r="N25" s="2421"/>
      <c r="O25" s="2422"/>
      <c r="P25" s="2423">
        <f t="shared" si="9"/>
        <v>0</v>
      </c>
      <c r="R25" s="273" t="e">
        <f t="shared" si="5"/>
        <v>#DIV/0!</v>
      </c>
      <c r="S25" s="2151" t="e">
        <f t="shared" si="5"/>
        <v>#DIV/0!</v>
      </c>
    </row>
    <row r="26" spans="1:19">
      <c r="A26" s="137"/>
      <c r="B26" s="115" t="s">
        <v>226</v>
      </c>
      <c r="C26" s="140"/>
      <c r="D26" s="111" t="e">
        <f t="shared" si="1"/>
        <v>#DIV/0!</v>
      </c>
      <c r="E26" s="134">
        <f t="shared" si="2"/>
        <v>0</v>
      </c>
      <c r="F26" s="3052"/>
      <c r="G26" s="3053"/>
      <c r="H26" s="110" t="e">
        <f t="shared" si="6"/>
        <v>#DIV/0!</v>
      </c>
      <c r="I26" s="116" t="e">
        <f t="shared" si="7"/>
        <v>#DIV/0!</v>
      </c>
      <c r="J26" s="1869"/>
      <c r="K26" s="2424" t="e">
        <f t="shared" si="3"/>
        <v>#DIV/0!</v>
      </c>
      <c r="L26" s="278">
        <f t="shared" si="4"/>
        <v>0</v>
      </c>
      <c r="M26" s="144" t="e">
        <f t="shared" si="8"/>
        <v>#DIV/0!</v>
      </c>
      <c r="N26" s="2425"/>
      <c r="O26" s="2426"/>
      <c r="P26" s="2427">
        <f t="shared" si="9"/>
        <v>0</v>
      </c>
      <c r="R26" s="273" t="e">
        <f t="shared" si="5"/>
        <v>#DIV/0!</v>
      </c>
      <c r="S26" s="2151" t="e">
        <f t="shared" si="5"/>
        <v>#DIV/0!</v>
      </c>
    </row>
    <row r="27" spans="1:19" ht="15.7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45" t="e">
        <f>SUM(H19:H26)</f>
        <v>#DIV/0!</v>
      </c>
      <c r="I27" s="946" t="e">
        <f>SUM(I19:I26)</f>
        <v>#DIV/0!</v>
      </c>
      <c r="J27" s="1869"/>
      <c r="K27" s="2428" t="e">
        <f>SUM(K19:K26)</f>
        <v>#DIV/0!</v>
      </c>
      <c r="L27" s="2429">
        <f>SUM(L19:L26)</f>
        <v>0</v>
      </c>
      <c r="M27" s="2430" t="e">
        <f>SUM(M19:M26)</f>
        <v>#DIV/0!</v>
      </c>
      <c r="N27" s="2428">
        <f t="shared" ref="N27:O27" si="10">SUM(N19:N26)</f>
        <v>0</v>
      </c>
      <c r="O27" s="2429">
        <f t="shared" si="10"/>
        <v>0</v>
      </c>
      <c r="P27" s="2431">
        <f>SUM(P19:P26)</f>
        <v>0</v>
      </c>
      <c r="R27" s="2155" t="e">
        <f>IF(SUM(R19:R26)=$D$3,SUM(R19:R26),SUM(R19:R26)&amp;"误差"&amp;ROUND(SUM(R19:R26)-$D$3,2))</f>
        <v>#DIV/0!</v>
      </c>
      <c r="S27" s="273" t="e">
        <f>IF(SUM(S19:S26)=$E$3,SUM(S19:S26),SUM(S19:S26)&amp;"误差"&amp;ROUND(SUM(S19:S26)-E3,2))</f>
        <v>#DIV/0!</v>
      </c>
    </row>
    <row r="28" spans="1:19">
      <c r="A28" s="137"/>
      <c r="B28" s="115" t="s">
        <v>227</v>
      </c>
      <c r="C28" s="135" t="s">
        <v>228</v>
      </c>
      <c r="D28" s="111" t="e">
        <f>ROUND($D$3*E28/$E$3,2)</f>
        <v>#DIV/0!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2284</v>
      </c>
      <c r="D29" s="111" t="e">
        <f>ROUND($D$3*E29/$E$3,2)</f>
        <v>#DIV/0!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t="e">
        <f>SUM(D28:D29)</f>
        <v>#DIV/0!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2286</v>
      </c>
      <c r="D31" s="1297" t="e">
        <f>D27+D30</f>
        <v>#DIV/0!</v>
      </c>
      <c r="E31" s="1297">
        <f>E27+E30</f>
        <v>0</v>
      </c>
      <c r="F31" s="1298">
        <f>F27+F30</f>
        <v>0</v>
      </c>
      <c r="G31" s="1299">
        <f>G27+G30</f>
        <v>0</v>
      </c>
      <c r="H31" s="3048"/>
      <c r="I31" s="3048"/>
      <c r="J31" s="3048"/>
      <c r="K31" s="3048"/>
      <c r="L31" s="3048"/>
      <c r="M31" s="3048"/>
      <c r="N31" s="3048"/>
      <c r="O31" s="3048"/>
      <c r="P31" s="3048"/>
    </row>
    <row r="32" spans="1:19">
      <c r="A32" s="1869"/>
      <c r="B32" s="2192" t="s">
        <v>2285</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O28" sqref="O28"/>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44622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c r="O5" s="161" t="s">
        <v>246</v>
      </c>
      <c r="P5" s="163" t="s">
        <v>247</v>
      </c>
      <c r="Q5" s="164" t="s">
        <v>248</v>
      </c>
      <c r="R5" s="165" t="s">
        <v>249</v>
      </c>
      <c r="S5" s="2432" t="s">
        <v>2525</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2287</v>
      </c>
      <c r="AI5" s="169" t="s">
        <v>2256</v>
      </c>
      <c r="AJ5" s="169" t="s">
        <v>258</v>
      </c>
      <c r="AK5" s="157" t="s">
        <v>259</v>
      </c>
      <c r="AL5" s="157" t="s">
        <v>260</v>
      </c>
      <c r="AM5" s="170" t="s">
        <v>261</v>
      </c>
      <c r="AN5" s="2216" t="s">
        <v>2334</v>
      </c>
      <c r="AO5" s="3069"/>
      <c r="AP5" s="3054" t="s">
        <v>2940</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f>'数据-汇总表'!C19</f>
        <v>0</v>
      </c>
      <c r="B6" s="2187" t="str">
        <f>IF(A6=0,"","经营性")</f>
        <v/>
      </c>
      <c r="C6" s="171"/>
      <c r="D6" s="2158">
        <f>SUMIF(项目基本情况!D$15:I$15,C6,项目基本情况!D$18:I$18)</f>
        <v>0</v>
      </c>
      <c r="E6" s="2159" t="str">
        <f>IF(B6="","",SUMIF(项目基本情况!D$15:I$15,C6,项目基本情况!D$17:I$17))</f>
        <v/>
      </c>
      <c r="F6" s="172">
        <f>SUMIF(项目基本情况!D$15:I$15,C6,项目基本情况!D$19:I$19)</f>
        <v>0</v>
      </c>
      <c r="G6" s="173">
        <f>IF(ISERROR(ROUND(POWER(1+H6,D6-F6)*(POWER(1+H6,F6)-1)/(POWER(1+H6,D6)-1),3)),0,ROUND(POWER(1+H6,D6-F6)*(POWER(1+H6,F6)-1)/(POWER(1+H6,D6)-1),3))</f>
        <v>0</v>
      </c>
      <c r="H6" s="2706"/>
      <c r="I6" s="2706"/>
      <c r="J6" s="174"/>
      <c r="K6" s="177">
        <f>SUMIF('数据-汇总表'!C$19:C$33,'数据-取费表'!A6,'数据-汇总表'!E$19:E$33)</f>
        <v>0</v>
      </c>
      <c r="L6" s="2707"/>
      <c r="M6" s="175">
        <f t="shared" ref="M6:M14" si="0">ROUND(K6*L6/10000,0)</f>
        <v>0</v>
      </c>
      <c r="N6" s="2708"/>
      <c r="O6" s="175">
        <f>IF($N$5="成新度","——",ROUND(M6*N6,0))</f>
        <v>0</v>
      </c>
      <c r="P6" s="176">
        <f>IF($N$5="成新度","——",M6-O6)</f>
        <v>0</v>
      </c>
      <c r="Q6" s="2709"/>
      <c r="R6" s="177">
        <f>SUMIF('数据-汇总表'!C$19:C$33,A6,'数据-汇总表'!R$19:R$33)</f>
        <v>0</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c r="AL6" s="188"/>
      <c r="AM6" s="2718"/>
      <c r="AN6" s="2217"/>
      <c r="AO6" s="3058"/>
      <c r="AP6" s="1169">
        <f>ROUND(1-1/(1+H6)^F6,3)</f>
        <v>0</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2278</v>
      </c>
      <c r="B14" s="2156" t="s">
        <v>1653</v>
      </c>
      <c r="C14" s="2157" t="s">
        <v>2278</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2280</v>
      </c>
      <c r="B15" s="2156" t="s">
        <v>1653</v>
      </c>
      <c r="C15" s="2157" t="s">
        <v>2279</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61">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t="e">
        <f>ROUND(SUMPRODUCT(AP6:AP13,K6:K13)/SUMPRODUCT((AP6:AP13&gt;0)*(K6:K13)),3)</f>
        <v>#DIV/0!</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c r="C19" s="3070" t="s">
        <v>2953</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c r="C20" s="3070" t="s">
        <v>2299</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0</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2301</v>
      </c>
      <c r="B27" s="225"/>
      <c r="C27" s="3071" t="s">
        <v>2954</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2302</v>
      </c>
      <c r="B28" s="227"/>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2300</v>
      </c>
      <c r="B29" s="230"/>
      <c r="C29" s="3072" t="s">
        <v>2303</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c r="C33" s="3073" t="s">
        <v>2941</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c r="C34" s="3073" t="s">
        <v>2942</v>
      </c>
      <c r="D34" s="3074" t="s">
        <v>2950</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c r="C35" s="3073" t="s">
        <v>2943</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c r="C36" s="3073" t="s">
        <v>2944</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c r="C37" s="3073" t="s">
        <v>2945</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c r="C38" s="3073" t="s">
        <v>2945</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2409</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2410</v>
      </c>
      <c r="B40" s="2304" t="e">
        <f ca="1">存贷款利率!E2</f>
        <v>#VALUE!</v>
      </c>
      <c r="C40" s="3073" t="s">
        <v>2946</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0</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c r="C42" s="3075">
        <f>IF(B2&lt;DATE(2016,5,1),0,B42)</f>
        <v>0</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0</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c r="C44" s="3073" t="s">
        <v>2951</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c r="C45" s="3076" t="s">
        <v>2947</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c r="C46" s="3076" t="s">
        <v>2948</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2955</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c r="C48" s="3076" t="s">
        <v>2947</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c r="C49" s="3076" t="s">
        <v>2949</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0</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c r="C53" s="3066" t="s">
        <v>2841</v>
      </c>
      <c r="D53" s="3077" t="s">
        <v>2952</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2842</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2843</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2844</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2845</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2846</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2847</v>
      </c>
      <c r="B59" s="184"/>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2848</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2849</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2850</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2851</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9" customWidth="1"/>
    <col min="2" max="2" width="23.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3536" t="s">
        <v>1637</v>
      </c>
      <c r="B1" s="3537"/>
      <c r="C1" s="3537"/>
      <c r="D1" s="3537"/>
      <c r="E1" s="3537"/>
      <c r="F1" s="3537"/>
      <c r="G1" s="3537"/>
      <c r="H1" s="3078"/>
      <c r="I1" s="3079"/>
      <c r="J1" s="3080"/>
      <c r="K1" s="3078"/>
      <c r="L1" s="3079"/>
      <c r="M1" s="3080"/>
      <c r="N1" s="3078"/>
      <c r="O1" s="3079"/>
      <c r="P1" s="3080"/>
      <c r="Q1" s="3081"/>
      <c r="R1" s="3082"/>
    </row>
    <row r="2" spans="1:18" ht="14.25" thickBot="1">
      <c r="A2" s="3084"/>
      <c r="B2" s="3085"/>
      <c r="C2" s="3086" t="s">
        <v>1638</v>
      </c>
      <c r="D2" s="3087"/>
      <c r="E2" s="3084"/>
      <c r="F2" s="3088"/>
      <c r="G2" s="3086" t="s">
        <v>1639</v>
      </c>
      <c r="H2" s="3089"/>
      <c r="I2" s="3089"/>
      <c r="J2" s="3089"/>
      <c r="K2" s="3089"/>
      <c r="L2" s="3089"/>
      <c r="M2" s="3089"/>
      <c r="N2" s="3089"/>
      <c r="O2" s="3089"/>
      <c r="P2" s="3089"/>
      <c r="Q2" s="3089"/>
      <c r="R2" s="3089"/>
    </row>
    <row r="3" spans="1:18" ht="40.5">
      <c r="A3" s="3090" t="s">
        <v>1640</v>
      </c>
      <c r="B3" s="3091" t="s">
        <v>1627</v>
      </c>
      <c r="C3" s="3092" t="s">
        <v>2858</v>
      </c>
      <c r="D3" s="3093"/>
      <c r="E3" s="3094" t="s">
        <v>1640</v>
      </c>
      <c r="F3" s="3095" t="s">
        <v>1628</v>
      </c>
      <c r="G3" s="3096" t="s">
        <v>2857</v>
      </c>
      <c r="H3" s="3089"/>
      <c r="I3" s="3089"/>
      <c r="J3" s="3089"/>
      <c r="K3" s="3089"/>
      <c r="L3" s="3089"/>
      <c r="M3" s="3089"/>
      <c r="N3" s="3089"/>
      <c r="O3" s="3089"/>
      <c r="P3" s="3089"/>
      <c r="Q3" s="3089"/>
      <c r="R3" s="3089"/>
    </row>
    <row r="4" spans="1:18" ht="40.5">
      <c r="A4" s="3094"/>
      <c r="B4" s="3097" t="s">
        <v>1641</v>
      </c>
      <c r="C4" s="3098" t="s">
        <v>2859</v>
      </c>
      <c r="D4" s="3093"/>
      <c r="E4" s="3099"/>
      <c r="F4" s="3100" t="s">
        <v>1642</v>
      </c>
      <c r="G4" s="3101" t="s">
        <v>2854</v>
      </c>
      <c r="H4" s="3089"/>
      <c r="I4" s="3089"/>
      <c r="J4" s="3089"/>
      <c r="K4" s="3089"/>
      <c r="L4" s="3089"/>
      <c r="M4" s="3089"/>
      <c r="N4" s="3089"/>
      <c r="O4" s="3089"/>
      <c r="P4" s="3089"/>
      <c r="Q4" s="3089"/>
      <c r="R4" s="3089"/>
    </row>
    <row r="5" spans="1:18" ht="41.25">
      <c r="A5" s="3094"/>
      <c r="B5" s="3097" t="s">
        <v>1643</v>
      </c>
      <c r="C5" s="3098" t="s">
        <v>2860</v>
      </c>
      <c r="D5" s="3093"/>
      <c r="E5" s="3099"/>
      <c r="F5" s="3097" t="s">
        <v>2499</v>
      </c>
      <c r="G5" s="3101" t="s">
        <v>2855</v>
      </c>
      <c r="H5" s="3089"/>
      <c r="I5" s="3089"/>
      <c r="J5" s="3089"/>
      <c r="K5" s="3089"/>
      <c r="L5" s="3089"/>
      <c r="M5" s="3089"/>
      <c r="N5" s="3089"/>
      <c r="O5" s="3089"/>
      <c r="P5" s="3089"/>
      <c r="Q5" s="3089"/>
      <c r="R5" s="3089"/>
    </row>
    <row r="6" spans="1:18" ht="40.5">
      <c r="A6" s="3094"/>
      <c r="B6" s="3097" t="s">
        <v>1629</v>
      </c>
      <c r="C6" s="3101" t="s">
        <v>2854</v>
      </c>
      <c r="D6" s="3093"/>
      <c r="E6" s="3099"/>
      <c r="F6" s="3097" t="s">
        <v>2500</v>
      </c>
      <c r="G6" s="3101" t="s">
        <v>2852</v>
      </c>
      <c r="H6" s="3089"/>
      <c r="I6" s="3089"/>
      <c r="J6" s="3089"/>
      <c r="K6" s="3089"/>
      <c r="L6" s="3089"/>
      <c r="M6" s="3089"/>
      <c r="N6" s="3089"/>
      <c r="O6" s="3089"/>
      <c r="P6" s="3089"/>
      <c r="Q6" s="3089"/>
      <c r="R6" s="3089"/>
    </row>
    <row r="7" spans="1:18" ht="27.75" thickBot="1">
      <c r="A7" s="3094"/>
      <c r="B7" s="3097" t="s">
        <v>2499</v>
      </c>
      <c r="C7" s="3101" t="s">
        <v>2855</v>
      </c>
      <c r="D7" s="3102"/>
      <c r="E7" s="3103"/>
      <c r="F7" s="3104" t="s">
        <v>1644</v>
      </c>
      <c r="G7" s="3105" t="s">
        <v>2856</v>
      </c>
      <c r="H7" s="3089"/>
      <c r="I7" s="3089"/>
      <c r="J7" s="3089"/>
      <c r="K7" s="3089"/>
      <c r="L7" s="3089"/>
      <c r="M7" s="3089"/>
      <c r="N7" s="3089"/>
      <c r="O7" s="3089"/>
      <c r="P7" s="3089"/>
      <c r="Q7" s="3089"/>
      <c r="R7" s="3089"/>
    </row>
    <row r="8" spans="1:18">
      <c r="A8" s="3094"/>
      <c r="B8" s="3097" t="s">
        <v>2500</v>
      </c>
      <c r="C8" s="3101" t="s">
        <v>2852</v>
      </c>
      <c r="D8" s="3102"/>
      <c r="E8" s="3102"/>
      <c r="F8" s="3106"/>
      <c r="G8" s="3106"/>
      <c r="H8" s="3089"/>
      <c r="I8" s="3089"/>
      <c r="J8" s="3089"/>
      <c r="K8" s="3089"/>
      <c r="L8" s="3089"/>
      <c r="M8" s="3089"/>
      <c r="N8" s="3089"/>
      <c r="O8" s="3089"/>
      <c r="P8" s="3089"/>
      <c r="Q8" s="3089"/>
      <c r="R8" s="3089"/>
    </row>
    <row r="9" spans="1:18" ht="27">
      <c r="A9" s="3094"/>
      <c r="B9" s="3097" t="s">
        <v>1630</v>
      </c>
      <c r="C9" s="3098" t="s">
        <v>2853</v>
      </c>
      <c r="D9" s="3093"/>
      <c r="E9" s="3102"/>
      <c r="F9" s="3106"/>
      <c r="G9" s="3106"/>
      <c r="H9" s="3089"/>
      <c r="I9" s="3089"/>
      <c r="J9" s="3089"/>
      <c r="K9" s="3089"/>
      <c r="L9" s="3089"/>
      <c r="M9" s="3089"/>
      <c r="N9" s="3089"/>
      <c r="O9" s="3089"/>
      <c r="P9" s="3089"/>
      <c r="Q9" s="3089"/>
      <c r="R9" s="3089"/>
    </row>
    <row r="10" spans="1:18" s="3113" customFormat="1" ht="15" thickBot="1">
      <c r="A10" s="3107"/>
      <c r="B10" s="3108" t="s">
        <v>1645</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1646</v>
      </c>
      <c r="B13" s="3116"/>
      <c r="C13" s="3116"/>
      <c r="D13" s="3087"/>
      <c r="E13" s="3116"/>
      <c r="F13" s="3116"/>
      <c r="G13" s="3116"/>
    </row>
    <row r="14" spans="1:18" ht="14.25" thickBot="1">
      <c r="A14" s="3128"/>
      <c r="B14" s="3128"/>
      <c r="C14" s="3129" t="s">
        <v>1638</v>
      </c>
      <c r="D14" s="3093"/>
      <c r="E14" s="3130"/>
      <c r="F14" s="3130"/>
      <c r="G14" s="3086" t="s">
        <v>1639</v>
      </c>
    </row>
    <row r="15" spans="1:18" ht="40.5">
      <c r="A15" s="3131" t="s">
        <v>1631</v>
      </c>
      <c r="B15" s="3132" t="s">
        <v>1627</v>
      </c>
      <c r="C15" s="3133" t="str">
        <f>C3</f>
        <v>估价对象周边居住用地比例、居住小区规模和社区发展完善程度，综合评价居住社区成熟度一般</v>
      </c>
      <c r="D15" s="3093"/>
      <c r="E15" s="3134" t="s">
        <v>1632</v>
      </c>
      <c r="F15" s="3132" t="s">
        <v>1647</v>
      </c>
      <c r="G15" s="3135" t="str">
        <f>G3</f>
        <v>估价对象位于XX开发区，园区建设成熟度XX，产业集聚程度XX</v>
      </c>
    </row>
    <row r="16" spans="1:18" ht="40.5">
      <c r="A16" s="3136"/>
      <c r="B16" s="3137" t="s">
        <v>1641</v>
      </c>
      <c r="C16" s="3138" t="str">
        <f>C4</f>
        <v>估价对象位于XX商圈，周边商业氛围成熟，人流量大，商业繁华度好</v>
      </c>
      <c r="D16" s="3093"/>
      <c r="E16" s="3139"/>
      <c r="F16" s="3140" t="s">
        <v>1642</v>
      </c>
      <c r="G16" s="3141" t="str">
        <f>G4</f>
        <v>估价对象周边道路状况、公共交通通达情况、停车便捷程度，综合评价交通便捷度较好</v>
      </c>
    </row>
    <row r="17" spans="1:7" ht="40.5">
      <c r="A17" s="3136"/>
      <c r="B17" s="3137" t="s">
        <v>1643</v>
      </c>
      <c r="C17" s="3138" t="str">
        <f>C5</f>
        <v>估价对象位于XX商圈，周边办公楼项目较多，入驻率高，办公集聚程度较好</v>
      </c>
      <c r="D17" s="3102"/>
      <c r="E17" s="3139"/>
      <c r="F17" s="3140" t="s">
        <v>1648</v>
      </c>
      <c r="G17" s="3142"/>
    </row>
    <row r="18" spans="1:7" ht="40.5">
      <c r="A18" s="3136"/>
      <c r="B18" s="3140" t="s">
        <v>1629</v>
      </c>
      <c r="C18" s="3141" t="str">
        <f>C6</f>
        <v>估价对象周边道路状况、公共交通通达情况、停车便捷程度，综合评价交通便捷度较好</v>
      </c>
      <c r="D18" s="3102"/>
      <c r="E18" s="3139"/>
      <c r="F18" s="3140" t="s">
        <v>1644</v>
      </c>
      <c r="G18" s="3141" t="str">
        <f>G7</f>
        <v>该园区内是否有污染型企业，绿化情况，卫生条件，整体环境状况判断</v>
      </c>
    </row>
    <row r="19" spans="1:7" ht="27">
      <c r="A19" s="3136"/>
      <c r="B19" s="3140" t="s">
        <v>1633</v>
      </c>
      <c r="C19" s="3142"/>
      <c r="D19" s="3093"/>
      <c r="E19" s="3139"/>
      <c r="F19" s="3097" t="s">
        <v>2499</v>
      </c>
      <c r="G19" s="3141" t="str">
        <f>G5</f>
        <v>估价对象所在区域公共配套设施齐备情况</v>
      </c>
    </row>
    <row r="20" spans="1:7" ht="27">
      <c r="A20" s="3136"/>
      <c r="B20" s="3140" t="s">
        <v>1634</v>
      </c>
      <c r="C20" s="3138" t="str">
        <f>C9</f>
        <v>区域自然环境：；人文环境；综合评价环境状况一般</v>
      </c>
      <c r="D20" s="3102"/>
      <c r="E20" s="3139"/>
      <c r="F20" s="3097" t="s">
        <v>2500</v>
      </c>
      <c r="G20" s="3141" t="str">
        <f>G6</f>
        <v>估价对象所在区域基础设施水平</v>
      </c>
    </row>
    <row r="21" spans="1:7" ht="27">
      <c r="A21" s="3136"/>
      <c r="B21" s="3097" t="s">
        <v>2499</v>
      </c>
      <c r="C21" s="3141" t="str">
        <f>C7</f>
        <v>估价对象所在区域公共配套设施齐备情况</v>
      </c>
      <c r="D21" s="3093"/>
      <c r="E21" s="3139"/>
      <c r="F21" s="3140" t="s">
        <v>1635</v>
      </c>
      <c r="G21" s="3143"/>
    </row>
    <row r="22" spans="1:7" ht="14.25">
      <c r="A22" s="3136"/>
      <c r="B22" s="3097" t="s">
        <v>2500</v>
      </c>
      <c r="C22" s="3141" t="str">
        <f>C8</f>
        <v>估价对象所在区域基础设施水平</v>
      </c>
      <c r="D22" s="3093"/>
      <c r="E22" s="3139"/>
      <c r="F22" s="3140" t="s">
        <v>1645</v>
      </c>
      <c r="G22" s="3142"/>
    </row>
    <row r="23" spans="1:7" ht="15" thickBot="1">
      <c r="A23" s="3136"/>
      <c r="B23" s="3140" t="s">
        <v>1635</v>
      </c>
      <c r="C23" s="3143"/>
      <c r="E23" s="3144"/>
      <c r="F23" s="3145" t="s">
        <v>1649</v>
      </c>
      <c r="G23" s="3146"/>
    </row>
    <row r="24" spans="1:7" ht="14.25" thickBot="1">
      <c r="A24" s="3147"/>
      <c r="B24" s="3145" t="s">
        <v>1636</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2" customWidth="1"/>
    <col min="2" max="16384" width="14.625" style="3152"/>
  </cols>
  <sheetData>
    <row r="1" spans="1:10" ht="16.5">
      <c r="A1" s="3151" t="s">
        <v>2792</v>
      </c>
      <c r="B1" s="3151">
        <f>SUM(B14:B23)</f>
        <v>0</v>
      </c>
      <c r="C1" s="3160"/>
      <c r="D1" s="3160"/>
      <c r="E1" s="3160"/>
      <c r="F1" s="3160"/>
      <c r="G1" s="3161"/>
      <c r="H1" s="3161"/>
      <c r="I1" s="3161"/>
      <c r="J1" s="3161"/>
    </row>
    <row r="2" spans="1:10" ht="16.5">
      <c r="A2" s="3151" t="s">
        <v>2793</v>
      </c>
      <c r="B2" s="3151" t="e">
        <f>SUM(C14:C23)</f>
        <v>#DIV/0!</v>
      </c>
      <c r="C2" s="3160"/>
      <c r="D2" s="3160"/>
      <c r="E2" s="3160"/>
      <c r="F2" s="3160"/>
      <c r="G2" s="3161"/>
      <c r="H2" s="3161"/>
      <c r="I2" s="3161"/>
      <c r="J2" s="3161"/>
    </row>
    <row r="3" spans="1:10" ht="16.5">
      <c r="A3" s="3151" t="s">
        <v>2794</v>
      </c>
      <c r="B3" s="3153">
        <f>项目基本情况!D3</f>
        <v>44622</v>
      </c>
      <c r="C3" s="3160"/>
      <c r="D3" s="3160"/>
      <c r="E3" s="3160"/>
      <c r="F3" s="3160"/>
      <c r="G3" s="3161"/>
      <c r="H3" s="3161"/>
      <c r="I3" s="3161"/>
      <c r="J3" s="3161"/>
    </row>
    <row r="4" spans="1:10" ht="33">
      <c r="A4" s="3151" t="s">
        <v>2795</v>
      </c>
      <c r="B4" s="3151" t="s">
        <v>2796</v>
      </c>
      <c r="C4" s="3151" t="s">
        <v>2797</v>
      </c>
      <c r="D4" s="3151" t="s">
        <v>2798</v>
      </c>
      <c r="E4" s="3160"/>
      <c r="F4" s="3160"/>
      <c r="G4" s="3161"/>
      <c r="H4" s="3161"/>
      <c r="I4" s="3161"/>
      <c r="J4" s="3161"/>
    </row>
    <row r="5" spans="1:10" ht="16.5">
      <c r="A5" s="3151" t="s">
        <v>2799</v>
      </c>
      <c r="B5" s="3151" t="e">
        <f ca="1">SUM(D14:D23)</f>
        <v>#REF!</v>
      </c>
      <c r="C5" s="3151" t="e">
        <f ca="1">ROUND(B5*10000/$B$1,0)</f>
        <v>#REF!</v>
      </c>
      <c r="D5" s="3151" t="e">
        <f ca="1">ROUND(B5*10000/$B$2,0)</f>
        <v>#REF!</v>
      </c>
      <c r="E5" s="3160"/>
      <c r="F5" s="3160"/>
      <c r="G5" s="3161"/>
      <c r="H5" s="3161"/>
      <c r="I5" s="3161"/>
      <c r="J5" s="3161"/>
    </row>
    <row r="6" spans="1:10" ht="16.5">
      <c r="A6" s="3151" t="s">
        <v>2800</v>
      </c>
      <c r="B6" s="3151">
        <f>SUM(G14:G23)</f>
        <v>0</v>
      </c>
      <c r="C6" s="3151" t="e">
        <f t="shared" ref="C6:C8" si="0">ROUND(B6*10000/$B$1,0)</f>
        <v>#DIV/0!</v>
      </c>
      <c r="D6" s="3151" t="e">
        <f t="shared" ref="D6:D8" si="1">ROUND(B6*10000/$B$2,0)</f>
        <v>#DIV/0!</v>
      </c>
      <c r="E6" s="3160"/>
      <c r="F6" s="3160"/>
      <c r="G6" s="3161"/>
      <c r="H6" s="3161"/>
      <c r="I6" s="3161"/>
      <c r="J6" s="3161"/>
    </row>
    <row r="7" spans="1:10" ht="16.5">
      <c r="A7" s="3151" t="s">
        <v>2801</v>
      </c>
      <c r="B7" s="3151">
        <f>SUM(H14:H23)</f>
        <v>0</v>
      </c>
      <c r="C7" s="3151" t="e">
        <f t="shared" si="0"/>
        <v>#DIV/0!</v>
      </c>
      <c r="D7" s="3151" t="e">
        <f t="shared" si="1"/>
        <v>#DIV/0!</v>
      </c>
      <c r="E7" s="3160"/>
      <c r="F7" s="3160"/>
      <c r="G7" s="3161"/>
      <c r="H7" s="3161"/>
      <c r="I7" s="3161"/>
      <c r="J7" s="3161"/>
    </row>
    <row r="8" spans="1:10" ht="16.5">
      <c r="A8" s="3151" t="s">
        <v>2802</v>
      </c>
      <c r="B8" s="3151">
        <f>SUM(I14:I23)</f>
        <v>0</v>
      </c>
      <c r="C8" s="3151" t="e">
        <f t="shared" si="0"/>
        <v>#DIV/0!</v>
      </c>
      <c r="D8" s="3151" t="e">
        <f t="shared" si="1"/>
        <v>#DIV/0!</v>
      </c>
      <c r="E8" s="3160"/>
      <c r="F8" s="3160"/>
      <c r="G8" s="3161"/>
      <c r="H8" s="3161"/>
      <c r="I8" s="3161"/>
      <c r="J8" s="3161"/>
    </row>
    <row r="9" spans="1:10" ht="16.5">
      <c r="A9" s="3151" t="s">
        <v>2803</v>
      </c>
      <c r="B9" s="3159"/>
      <c r="C9" s="3160"/>
      <c r="D9" s="3160"/>
      <c r="E9" s="3160"/>
      <c r="F9" s="3160"/>
      <c r="G9" s="3161"/>
      <c r="H9" s="3161"/>
      <c r="I9" s="3161"/>
      <c r="J9" s="3161"/>
    </row>
    <row r="10" spans="1:10" ht="16.5">
      <c r="A10" s="3151" t="s">
        <v>2804</v>
      </c>
      <c r="B10" s="3159"/>
      <c r="C10" s="3160"/>
      <c r="D10" s="3160"/>
      <c r="E10" s="3160"/>
      <c r="F10" s="3160"/>
      <c r="G10" s="3161"/>
      <c r="H10" s="3161"/>
      <c r="I10" s="3161"/>
      <c r="J10" s="3161"/>
    </row>
    <row r="11" spans="1:10" ht="16.5">
      <c r="A11" s="3151" t="s">
        <v>2821</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2820</v>
      </c>
      <c r="B13" s="3155" t="s">
        <v>2792</v>
      </c>
      <c r="C13" s="3155" t="s">
        <v>2793</v>
      </c>
      <c r="D13" s="3155" t="s">
        <v>2805</v>
      </c>
      <c r="E13" s="3151" t="s">
        <v>2819</v>
      </c>
      <c r="F13" s="3151" t="s">
        <v>2798</v>
      </c>
      <c r="G13" s="3155" t="s">
        <v>2806</v>
      </c>
      <c r="H13" s="3155" t="s">
        <v>2807</v>
      </c>
      <c r="I13" s="3155" t="s">
        <v>2808</v>
      </c>
      <c r="J13" s="3161"/>
    </row>
    <row r="14" spans="1:10" ht="16.5">
      <c r="A14" s="3156" t="s">
        <v>2818</v>
      </c>
      <c r="B14" s="3157">
        <f>结果表!L38</f>
        <v>0</v>
      </c>
      <c r="C14" s="3157" t="e">
        <f>结果表!K38</f>
        <v>#DIV/0!</v>
      </c>
      <c r="D14" s="3157" t="e">
        <f ca="1">结果表!C42</f>
        <v>#REF!</v>
      </c>
      <c r="E14" s="3157" t="e">
        <f ca="1">ROUND(D14*10000/B14,0)</f>
        <v>#REF!</v>
      </c>
      <c r="F14" s="3157" t="e">
        <f ca="1">ROUND(D14*10000/C14,0)</f>
        <v>#REF!</v>
      </c>
      <c r="G14" s="3157" t="str">
        <f>结果表!C44</f>
        <v>——</v>
      </c>
      <c r="H14" s="3157" t="str">
        <f>结果表!C45</f>
        <v>——</v>
      </c>
      <c r="I14" s="3157" t="str">
        <f>结果表!C46</f>
        <v>——</v>
      </c>
      <c r="J14" s="3161"/>
    </row>
    <row r="15" spans="1:10" ht="16.5">
      <c r="A15" s="3156" t="s">
        <v>2809</v>
      </c>
      <c r="B15" s="3158"/>
      <c r="C15" s="3158"/>
      <c r="D15" s="3158"/>
      <c r="E15" s="3157" t="e">
        <f t="shared" ref="E15:E23" si="2">ROUND(D15*10000/B15,0)</f>
        <v>#DIV/0!</v>
      </c>
      <c r="F15" s="3157" t="e">
        <f t="shared" ref="F15:F23" si="3">ROUND(D15*10000/C15,0)</f>
        <v>#DIV/0!</v>
      </c>
      <c r="G15" s="2723"/>
      <c r="H15" s="2723"/>
      <c r="I15" s="3158"/>
      <c r="J15" s="3161"/>
    </row>
    <row r="16" spans="1:10" ht="16.5">
      <c r="A16" s="3156" t="s">
        <v>2810</v>
      </c>
      <c r="B16" s="3158"/>
      <c r="C16" s="3158"/>
      <c r="D16" s="3158"/>
      <c r="E16" s="3157" t="e">
        <f t="shared" si="2"/>
        <v>#DIV/0!</v>
      </c>
      <c r="F16" s="3157" t="e">
        <f t="shared" si="3"/>
        <v>#DIV/0!</v>
      </c>
      <c r="G16" s="2723"/>
      <c r="H16" s="2723"/>
      <c r="I16" s="3158"/>
      <c r="J16" s="3161"/>
    </row>
    <row r="17" spans="1:10" ht="16.5">
      <c r="A17" s="3156" t="s">
        <v>2811</v>
      </c>
      <c r="B17" s="3158"/>
      <c r="C17" s="3158"/>
      <c r="D17" s="3158"/>
      <c r="E17" s="3157" t="e">
        <f t="shared" si="2"/>
        <v>#DIV/0!</v>
      </c>
      <c r="F17" s="3157" t="e">
        <f t="shared" si="3"/>
        <v>#DIV/0!</v>
      </c>
      <c r="G17" s="2723"/>
      <c r="H17" s="2723"/>
      <c r="I17" s="3158"/>
      <c r="J17" s="3161"/>
    </row>
    <row r="18" spans="1:10" ht="16.5">
      <c r="A18" s="3156" t="s">
        <v>2812</v>
      </c>
      <c r="B18" s="3158"/>
      <c r="C18" s="3158"/>
      <c r="D18" s="3158"/>
      <c r="E18" s="3157" t="e">
        <f t="shared" si="2"/>
        <v>#DIV/0!</v>
      </c>
      <c r="F18" s="3157" t="e">
        <f t="shared" si="3"/>
        <v>#DIV/0!</v>
      </c>
      <c r="G18" s="3158"/>
      <c r="H18" s="3158"/>
      <c r="I18" s="3158"/>
      <c r="J18" s="3161"/>
    </row>
    <row r="19" spans="1:10" ht="16.5">
      <c r="A19" s="3156" t="s">
        <v>2813</v>
      </c>
      <c r="B19" s="3158"/>
      <c r="C19" s="3158"/>
      <c r="D19" s="3158"/>
      <c r="E19" s="3157" t="e">
        <f t="shared" si="2"/>
        <v>#DIV/0!</v>
      </c>
      <c r="F19" s="3157" t="e">
        <f t="shared" si="3"/>
        <v>#DIV/0!</v>
      </c>
      <c r="G19" s="3158"/>
      <c r="H19" s="3158"/>
      <c r="I19" s="3158"/>
      <c r="J19" s="3161"/>
    </row>
    <row r="20" spans="1:10" ht="16.5">
      <c r="A20" s="3156" t="s">
        <v>2814</v>
      </c>
      <c r="B20" s="3158"/>
      <c r="C20" s="3158"/>
      <c r="D20" s="3158"/>
      <c r="E20" s="3157" t="e">
        <f t="shared" si="2"/>
        <v>#DIV/0!</v>
      </c>
      <c r="F20" s="3157" t="e">
        <f t="shared" si="3"/>
        <v>#DIV/0!</v>
      </c>
      <c r="G20" s="3158"/>
      <c r="H20" s="3158"/>
      <c r="I20" s="3158"/>
      <c r="J20" s="3161"/>
    </row>
    <row r="21" spans="1:10" ht="16.5">
      <c r="A21" s="3156" t="s">
        <v>2815</v>
      </c>
      <c r="B21" s="3158"/>
      <c r="C21" s="3158"/>
      <c r="D21" s="3158"/>
      <c r="E21" s="3157" t="e">
        <f t="shared" si="2"/>
        <v>#DIV/0!</v>
      </c>
      <c r="F21" s="3157" t="e">
        <f t="shared" si="3"/>
        <v>#DIV/0!</v>
      </c>
      <c r="G21" s="3158"/>
      <c r="H21" s="3158"/>
      <c r="I21" s="3158"/>
      <c r="J21" s="3161"/>
    </row>
    <row r="22" spans="1:10" ht="16.5">
      <c r="A22" s="3156" t="s">
        <v>2816</v>
      </c>
      <c r="B22" s="3158"/>
      <c r="C22" s="3158"/>
      <c r="D22" s="3158"/>
      <c r="E22" s="3157" t="e">
        <f t="shared" si="2"/>
        <v>#DIV/0!</v>
      </c>
      <c r="F22" s="3157" t="e">
        <f t="shared" si="3"/>
        <v>#DIV/0!</v>
      </c>
      <c r="G22" s="3158"/>
      <c r="H22" s="3158"/>
      <c r="I22" s="3158"/>
      <c r="J22" s="3161"/>
    </row>
    <row r="23" spans="1:10" ht="16.5">
      <c r="A23" s="3156" t="s">
        <v>2817</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2021</v>
      </c>
      <c r="B1" s="1664"/>
      <c r="C1" s="1692" t="s">
        <v>2022</v>
      </c>
      <c r="D1" s="1693"/>
      <c r="E1" s="1692" t="s">
        <v>2023</v>
      </c>
      <c r="F1" s="1694"/>
      <c r="G1" s="309"/>
      <c r="H1" s="309"/>
      <c r="I1" s="309"/>
      <c r="J1" s="1883"/>
      <c r="K1" s="1883"/>
      <c r="L1" s="1883"/>
      <c r="M1" s="1883"/>
      <c r="N1" s="1883"/>
      <c r="O1" s="1883"/>
      <c r="P1" s="1883"/>
      <c r="Q1" s="1883"/>
      <c r="R1" s="1883"/>
      <c r="S1" s="1883"/>
      <c r="T1" s="1883"/>
      <c r="U1" s="1883"/>
      <c r="V1" s="1883"/>
    </row>
    <row r="2" spans="1:22" ht="21.75" customHeight="1" thickBot="1">
      <c r="A2" s="3582" t="str">
        <f>项目基本情况!K2</f>
        <v>出让国有建设用地使用权</v>
      </c>
      <c r="B2" s="3583"/>
      <c r="C2" s="3584"/>
      <c r="D2" s="3584"/>
      <c r="E2" s="3584"/>
      <c r="F2" s="3584"/>
      <c r="G2" s="3583"/>
      <c r="H2" s="3583"/>
      <c r="I2" s="3585"/>
      <c r="J2" s="1884"/>
      <c r="K2" s="1883"/>
      <c r="L2" s="1883"/>
      <c r="M2" s="1883"/>
      <c r="N2" s="1883"/>
      <c r="O2" s="1883"/>
      <c r="P2" s="1883"/>
      <c r="Q2" s="1883"/>
      <c r="R2" s="1883"/>
      <c r="S2" s="1883"/>
      <c r="T2" s="1883"/>
      <c r="U2" s="1883"/>
      <c r="V2" s="1883"/>
    </row>
    <row r="3" spans="1:22" ht="14.25">
      <c r="A3" s="3575" t="s">
        <v>298</v>
      </c>
      <c r="B3" s="3576"/>
      <c r="C3" s="3576"/>
      <c r="D3" s="3576"/>
      <c r="E3" s="3576"/>
      <c r="F3" s="3576"/>
      <c r="G3" s="3576"/>
      <c r="H3" s="3576"/>
      <c r="I3" s="3576"/>
      <c r="J3" s="1884"/>
      <c r="K3" s="1883"/>
      <c r="L3" s="1883"/>
      <c r="M3" s="1883"/>
      <c r="N3" s="1883"/>
      <c r="O3" s="1883"/>
      <c r="P3" s="1883"/>
      <c r="Q3" s="1883"/>
      <c r="R3" s="1883"/>
      <c r="S3" s="1883"/>
      <c r="T3" s="1883"/>
      <c r="U3" s="1883"/>
      <c r="V3" s="1883"/>
    </row>
    <row r="4" spans="1:22" ht="14.25">
      <c r="A4" s="256" t="s">
        <v>299</v>
      </c>
      <c r="B4" s="257" t="s">
        <v>300</v>
      </c>
      <c r="C4" s="258"/>
      <c r="D4" s="258"/>
      <c r="E4" s="3541" t="s">
        <v>301</v>
      </c>
      <c r="F4" s="3542"/>
      <c r="G4" s="3542"/>
      <c r="H4" s="3542"/>
      <c r="I4" s="3577"/>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540" t="s">
        <v>302</v>
      </c>
      <c r="B5" s="3569">
        <v>25</v>
      </c>
      <c r="C5" s="3567"/>
      <c r="D5" s="3571"/>
      <c r="E5" s="259" t="s">
        <v>303</v>
      </c>
      <c r="F5" s="260"/>
      <c r="G5" s="260"/>
      <c r="H5" s="260"/>
      <c r="I5" s="261"/>
      <c r="J5" s="1884"/>
      <c r="K5" s="1883"/>
      <c r="L5" s="1883"/>
      <c r="M5" s="1883"/>
      <c r="N5" s="1883"/>
      <c r="O5" s="1883"/>
      <c r="P5" s="1883"/>
      <c r="Q5" s="1883"/>
      <c r="R5" s="1883"/>
      <c r="S5" s="1883"/>
      <c r="T5" s="1883"/>
      <c r="U5" s="1883"/>
      <c r="V5" s="1883"/>
    </row>
    <row r="6" spans="1:22" ht="14.25">
      <c r="A6" s="3540"/>
      <c r="B6" s="3569"/>
      <c r="C6" s="3570"/>
      <c r="D6" s="3571"/>
      <c r="E6" s="259" t="s">
        <v>304</v>
      </c>
      <c r="F6" s="260"/>
      <c r="G6" s="260"/>
      <c r="H6" s="260"/>
      <c r="I6" s="261"/>
      <c r="J6" s="1884"/>
      <c r="K6" s="1883"/>
      <c r="L6" s="1883"/>
      <c r="M6" s="1883"/>
      <c r="N6" s="1883"/>
      <c r="O6" s="1883"/>
      <c r="P6" s="1883"/>
      <c r="Q6" s="1883"/>
      <c r="R6" s="1883"/>
      <c r="S6" s="1883"/>
      <c r="T6" s="1883"/>
      <c r="U6" s="1883"/>
      <c r="V6" s="1883"/>
    </row>
    <row r="7" spans="1:22" ht="14.25">
      <c r="A7" s="3540"/>
      <c r="B7" s="3569"/>
      <c r="C7" s="3568"/>
      <c r="D7" s="3571"/>
      <c r="E7" s="259" t="s">
        <v>305</v>
      </c>
      <c r="F7" s="260"/>
      <c r="G7" s="260"/>
      <c r="H7" s="260"/>
      <c r="I7" s="261"/>
      <c r="J7" s="1884"/>
      <c r="K7" s="1883"/>
      <c r="L7" s="1883"/>
      <c r="M7" s="1883"/>
      <c r="N7" s="1883"/>
      <c r="O7" s="1883"/>
      <c r="P7" s="1883"/>
      <c r="Q7" s="1883"/>
      <c r="R7" s="1883"/>
      <c r="S7" s="1883"/>
      <c r="T7" s="1883"/>
      <c r="U7" s="1883"/>
      <c r="V7" s="1883"/>
    </row>
    <row r="8" spans="1:22" ht="14.25">
      <c r="A8" s="3540" t="s">
        <v>306</v>
      </c>
      <c r="B8" s="3569">
        <v>15</v>
      </c>
      <c r="C8" s="3567"/>
      <c r="D8" s="3571"/>
      <c r="E8" s="259" t="s">
        <v>307</v>
      </c>
      <c r="F8" s="260"/>
      <c r="G8" s="260"/>
      <c r="H8" s="260"/>
      <c r="I8" s="261"/>
      <c r="J8" s="1884"/>
      <c r="K8" s="1883"/>
      <c r="L8" s="1883"/>
      <c r="M8" s="1883"/>
      <c r="N8" s="1883"/>
      <c r="O8" s="1883"/>
      <c r="P8" s="1883"/>
      <c r="Q8" s="1883"/>
      <c r="R8" s="1883"/>
      <c r="S8" s="1883"/>
      <c r="T8" s="1883"/>
      <c r="U8" s="1883"/>
      <c r="V8" s="1883"/>
    </row>
    <row r="9" spans="1:22" ht="14.25">
      <c r="A9" s="3540"/>
      <c r="B9" s="3569"/>
      <c r="C9" s="3568"/>
      <c r="D9" s="3571"/>
      <c r="E9" s="259" t="s">
        <v>308</v>
      </c>
      <c r="F9" s="260"/>
      <c r="G9" s="260"/>
      <c r="H9" s="260"/>
      <c r="I9" s="261"/>
      <c r="J9" s="1884"/>
      <c r="K9" s="1883"/>
      <c r="L9" s="1883"/>
      <c r="M9" s="1883"/>
      <c r="N9" s="1883"/>
      <c r="O9" s="1883"/>
      <c r="P9" s="1883"/>
      <c r="Q9" s="1883"/>
      <c r="R9" s="1883"/>
      <c r="S9" s="1883"/>
      <c r="T9" s="1883"/>
      <c r="U9" s="1883"/>
      <c r="V9" s="1883"/>
    </row>
    <row r="10" spans="1:22" ht="14.25">
      <c r="A10" s="3540" t="s">
        <v>309</v>
      </c>
      <c r="B10" s="3569">
        <v>15</v>
      </c>
      <c r="C10" s="3567"/>
      <c r="D10" s="3571"/>
      <c r="E10" s="259" t="s">
        <v>310</v>
      </c>
      <c r="F10" s="260"/>
      <c r="G10" s="260"/>
      <c r="H10" s="260"/>
      <c r="I10" s="261"/>
      <c r="J10" s="1884"/>
      <c r="K10" s="1883"/>
      <c r="L10" s="1883"/>
      <c r="M10" s="1883"/>
      <c r="N10" s="1883"/>
      <c r="O10" s="1883"/>
      <c r="P10" s="1883"/>
      <c r="Q10" s="1883"/>
      <c r="R10" s="1883"/>
      <c r="S10" s="1883"/>
      <c r="T10" s="1883"/>
      <c r="U10" s="1883"/>
      <c r="V10" s="1883"/>
    </row>
    <row r="11" spans="1:22" ht="14.25">
      <c r="A11" s="3540"/>
      <c r="B11" s="3569"/>
      <c r="C11" s="3568"/>
      <c r="D11" s="3571"/>
      <c r="E11" s="259" t="s">
        <v>311</v>
      </c>
      <c r="F11" s="260"/>
      <c r="G11" s="260"/>
      <c r="H11" s="260"/>
      <c r="I11" s="261"/>
      <c r="J11" s="1884"/>
      <c r="K11" s="1883"/>
      <c r="L11" s="1883"/>
      <c r="M11" s="1883"/>
      <c r="N11" s="1883"/>
      <c r="O11" s="1883"/>
      <c r="P11" s="1883"/>
      <c r="Q11" s="1883"/>
      <c r="R11" s="1883"/>
      <c r="S11" s="1883"/>
      <c r="T11" s="1883"/>
      <c r="U11" s="1883"/>
      <c r="V11" s="1883"/>
    </row>
    <row r="12" spans="1:22" ht="14.25">
      <c r="A12" s="3540" t="s">
        <v>312</v>
      </c>
      <c r="B12" s="3569">
        <v>15</v>
      </c>
      <c r="C12" s="3567"/>
      <c r="D12" s="3571"/>
      <c r="E12" s="259" t="s">
        <v>313</v>
      </c>
      <c r="F12" s="260"/>
      <c r="G12" s="260"/>
      <c r="H12" s="260"/>
      <c r="I12" s="261"/>
      <c r="J12" s="1884"/>
      <c r="K12" s="1883"/>
      <c r="L12" s="1883"/>
      <c r="M12" s="1883"/>
      <c r="N12" s="1883"/>
      <c r="O12" s="1883"/>
      <c r="P12" s="1883"/>
      <c r="Q12" s="1883"/>
      <c r="R12" s="1883"/>
      <c r="S12" s="1883"/>
      <c r="T12" s="1883"/>
      <c r="U12" s="1883"/>
      <c r="V12" s="1883"/>
    </row>
    <row r="13" spans="1:22" ht="14.25">
      <c r="A13" s="3540"/>
      <c r="B13" s="3569"/>
      <c r="C13" s="3568"/>
      <c r="D13" s="3571"/>
      <c r="E13" s="259" t="s">
        <v>314</v>
      </c>
      <c r="F13" s="260"/>
      <c r="G13" s="260"/>
      <c r="H13" s="260"/>
      <c r="I13" s="261"/>
      <c r="J13" s="1884"/>
      <c r="K13" s="1883"/>
      <c r="L13" s="1883"/>
      <c r="M13" s="1883"/>
      <c r="N13" s="1883"/>
      <c r="O13" s="1883"/>
      <c r="P13" s="1883"/>
      <c r="Q13" s="1883"/>
      <c r="R13" s="1883"/>
      <c r="S13" s="1883"/>
      <c r="T13" s="1883"/>
      <c r="U13" s="1883"/>
      <c r="V13" s="1883"/>
    </row>
    <row r="14" spans="1:22" ht="14.25">
      <c r="A14" s="3540" t="s">
        <v>315</v>
      </c>
      <c r="B14" s="3569">
        <v>30</v>
      </c>
      <c r="C14" s="3567"/>
      <c r="D14" s="3571"/>
      <c r="E14" s="259" t="s">
        <v>316</v>
      </c>
      <c r="F14" s="260"/>
      <c r="G14" s="260"/>
      <c r="H14" s="260"/>
      <c r="I14" s="261"/>
      <c r="J14" s="1884"/>
      <c r="K14" s="1883"/>
      <c r="L14" s="1883"/>
      <c r="M14" s="1883"/>
      <c r="N14" s="1883"/>
      <c r="O14" s="1883"/>
      <c r="P14" s="1883"/>
      <c r="Q14" s="1883"/>
      <c r="R14" s="1883"/>
      <c r="S14" s="1883"/>
      <c r="T14" s="1883"/>
      <c r="U14" s="1883"/>
      <c r="V14" s="1883"/>
    </row>
    <row r="15" spans="1:22" ht="14.25">
      <c r="A15" s="3540"/>
      <c r="B15" s="3569"/>
      <c r="C15" s="3570"/>
      <c r="D15" s="3571"/>
      <c r="E15" s="259" t="s">
        <v>317</v>
      </c>
      <c r="F15" s="260"/>
      <c r="G15" s="260"/>
      <c r="H15" s="260"/>
      <c r="I15" s="261"/>
      <c r="J15" s="1884"/>
      <c r="K15" s="1883"/>
      <c r="L15" s="1883"/>
      <c r="M15" s="1883"/>
      <c r="N15" s="1883"/>
      <c r="O15" s="1883"/>
      <c r="P15" s="1883"/>
      <c r="Q15" s="1883"/>
      <c r="R15" s="1883"/>
      <c r="S15" s="1883"/>
      <c r="T15" s="1883"/>
      <c r="U15" s="1883"/>
      <c r="V15" s="1883"/>
    </row>
    <row r="16" spans="1:22" ht="14.25">
      <c r="A16" s="3540"/>
      <c r="B16" s="3569"/>
      <c r="C16" s="3568"/>
      <c r="D16" s="3571"/>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0</v>
      </c>
      <c r="D17" s="263">
        <f>SUM(D5:D16)</f>
        <v>0</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t="e">
        <f>ROUND(C17/SUM(C17:D17),2)</f>
        <v>#DIV/0!</v>
      </c>
      <c r="D18" s="265" t="e">
        <f>1-C18</f>
        <v>#DIV/0!</v>
      </c>
      <c r="E18" s="3572" t="s">
        <v>2929</v>
      </c>
      <c r="F18" s="3573"/>
      <c r="G18" s="3573"/>
      <c r="H18" s="3573"/>
      <c r="I18" s="3573"/>
      <c r="J18" s="1883"/>
      <c r="K18" s="1883"/>
      <c r="L18" s="1883"/>
      <c r="M18" s="1883"/>
      <c r="N18" s="1883"/>
      <c r="O18" s="1883"/>
      <c r="P18" s="1883"/>
      <c r="Q18" s="1883"/>
      <c r="R18" s="1883"/>
      <c r="S18" s="1883"/>
      <c r="T18" s="1883"/>
      <c r="U18" s="1883"/>
      <c r="V18" s="188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t="e">
        <f ca="1">IF(C19&lt;D19,D19/C19-1,C19/D19-1)</f>
        <v>#REF!</v>
      </c>
      <c r="E22" s="282"/>
      <c r="F22" s="283"/>
      <c r="G22" s="284" t="e">
        <f ca="1">ROUND(G19/('数据-汇总表'!D3/666.67),0)</f>
        <v>#REF!</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546"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547"/>
      <c r="B25" s="1257" t="s">
        <v>331</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2930</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574" t="s">
        <v>2931</v>
      </c>
      <c r="B31" s="3574"/>
      <c r="C31" s="3574"/>
      <c r="D31" s="3574"/>
      <c r="E31" s="3574"/>
      <c r="F31" s="3574"/>
      <c r="G31" s="3574"/>
      <c r="H31" s="3574"/>
      <c r="I31" s="3574"/>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1662</v>
      </c>
      <c r="C32" s="264" t="e">
        <f ca="1">G19-C24</f>
        <v>#REF!</v>
      </c>
      <c r="D32" s="2971" t="s">
        <v>1663</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1664</v>
      </c>
      <c r="C33" s="262" t="e">
        <f ca="1">ROUND(C32*10000/'数据-汇总表'!E3,0)</f>
        <v>#REF!</v>
      </c>
      <c r="D33" s="1308" t="s">
        <v>1665</v>
      </c>
      <c r="E33" s="3546"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1666</v>
      </c>
      <c r="C34" s="262" t="e">
        <f ca="1">ROUND(C32*10000/'数据-汇总表'!D3,0)</f>
        <v>#REF!</v>
      </c>
      <c r="D34" s="1310" t="s">
        <v>1665</v>
      </c>
      <c r="E34" s="3590"/>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#REF!</v>
      </c>
      <c r="D35" s="1313" t="s">
        <v>1667</v>
      </c>
      <c r="E35" s="3591"/>
      <c r="F35" s="299" t="s">
        <v>342</v>
      </c>
      <c r="G35" s="952"/>
      <c r="H35" s="951" t="s">
        <v>343</v>
      </c>
      <c r="I35" s="309"/>
      <c r="J35" s="1883"/>
      <c r="K35" s="3564" t="s">
        <v>350</v>
      </c>
      <c r="L35" s="3564" t="s">
        <v>351</v>
      </c>
      <c r="M35" s="1200" t="s">
        <v>352</v>
      </c>
      <c r="N35" s="3564" t="s">
        <v>353</v>
      </c>
      <c r="O35" s="3564" t="s">
        <v>354</v>
      </c>
      <c r="P35" s="1883"/>
      <c r="V35" s="1883"/>
    </row>
    <row r="36" spans="1:26" ht="16.5" customHeight="1">
      <c r="A36" s="301" t="s">
        <v>344</v>
      </c>
      <c r="B36" s="302" t="s">
        <v>333</v>
      </c>
      <c r="C36" s="303" t="s">
        <v>345</v>
      </c>
      <c r="D36" s="303" t="s">
        <v>346</v>
      </c>
      <c r="E36" s="304" t="s">
        <v>347</v>
      </c>
      <c r="F36" s="309"/>
      <c r="G36" s="309"/>
      <c r="H36" s="309"/>
      <c r="I36" s="309"/>
      <c r="J36" s="1885"/>
      <c r="K36" s="3565"/>
      <c r="L36" s="3565"/>
      <c r="M36" s="1202" t="s">
        <v>355</v>
      </c>
      <c r="N36" s="3565"/>
      <c r="O36" s="3565"/>
      <c r="P36" s="1883"/>
      <c r="V36" s="1883"/>
    </row>
    <row r="37" spans="1:26" ht="16.5" customHeight="1" thickBot="1">
      <c r="A37" s="1196" t="s">
        <v>348</v>
      </c>
      <c r="B37" s="305"/>
      <c r="C37" s="292"/>
      <c r="D37" s="292"/>
      <c r="E37" s="293"/>
      <c r="F37" s="309"/>
      <c r="G37" s="309"/>
      <c r="H37" s="309"/>
      <c r="I37" s="309"/>
      <c r="J37" s="1885"/>
      <c r="K37" s="3566"/>
      <c r="L37" s="3566"/>
      <c r="M37" s="1203"/>
      <c r="N37" s="3566"/>
      <c r="O37" s="3566"/>
      <c r="P37" s="1883"/>
      <c r="V37" s="1883"/>
    </row>
    <row r="38" spans="1:26" ht="16.5" customHeight="1" thickBot="1">
      <c r="A38" s="1196" t="s">
        <v>349</v>
      </c>
      <c r="B38" s="305"/>
      <c r="C38" s="292"/>
      <c r="D38" s="292"/>
      <c r="E38" s="293"/>
      <c r="F38" s="309"/>
      <c r="G38" s="309"/>
      <c r="H38" s="309"/>
      <c r="I38" s="309"/>
      <c r="J38" s="1885"/>
      <c r="K38" s="1204" t="e">
        <f>'数据-汇总表'!D3</f>
        <v>#DIV/0!</v>
      </c>
      <c r="L38" s="1205">
        <f>'数据-汇总表'!E3</f>
        <v>0</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604" t="str">
        <f>MID(A44,3,LEN(A44)-2)</f>
        <v/>
      </c>
      <c r="L39" s="3605"/>
      <c r="M39" s="3605"/>
      <c r="N39" s="3606"/>
      <c r="O39" s="1315" t="str">
        <f>C44</f>
        <v>——</v>
      </c>
      <c r="P39" s="1883"/>
      <c r="V39" s="1883"/>
    </row>
    <row r="40" spans="1:26" ht="19.5" thickBot="1">
      <c r="A40" s="104" t="s">
        <v>848</v>
      </c>
      <c r="B40" s="309"/>
      <c r="C40" s="309"/>
      <c r="D40" s="309"/>
      <c r="E40" s="309"/>
      <c r="F40" s="309"/>
      <c r="G40" s="309"/>
      <c r="H40" s="309"/>
      <c r="I40" s="309"/>
      <c r="J40" s="1885"/>
      <c r="K40" s="3604" t="str">
        <f t="shared" ref="K40:K41" si="0">MID(A45,3,LEN(A45)-2)</f>
        <v/>
      </c>
      <c r="L40" s="3605"/>
      <c r="M40" s="3605"/>
      <c r="N40" s="3606"/>
      <c r="O40" s="1315" t="str">
        <f>C45</f>
        <v>——</v>
      </c>
      <c r="P40" s="1883"/>
      <c r="V40" s="1883"/>
    </row>
    <row r="41" spans="1:26" ht="16.5" thickBot="1">
      <c r="A41" s="310" t="s">
        <v>356</v>
      </c>
      <c r="B41" s="311"/>
      <c r="C41" s="312" t="s">
        <v>357</v>
      </c>
      <c r="D41" s="313" t="s">
        <v>358</v>
      </c>
      <c r="E41" s="313" t="s">
        <v>359</v>
      </c>
      <c r="F41" s="314" t="s">
        <v>360</v>
      </c>
      <c r="G41" s="309"/>
      <c r="H41" s="309"/>
      <c r="I41" s="309"/>
      <c r="J41" s="1885"/>
      <c r="K41" s="3604" t="str">
        <f t="shared" si="0"/>
        <v/>
      </c>
      <c r="L41" s="3605"/>
      <c r="M41" s="3605"/>
      <c r="N41" s="3606"/>
      <c r="O41" s="1315" t="str">
        <f>C46</f>
        <v>——</v>
      </c>
      <c r="P41" s="1883"/>
      <c r="V41" s="1883"/>
    </row>
    <row r="42" spans="1:26" ht="29.25">
      <c r="A42" s="3548" t="s">
        <v>2033</v>
      </c>
      <c r="B42" s="3549"/>
      <c r="C42" s="262" t="e">
        <f ca="1">C32</f>
        <v>#REF!</v>
      </c>
      <c r="D42" s="315" t="e">
        <f ca="1">C33</f>
        <v>#REF!</v>
      </c>
      <c r="E42" s="315" t="e">
        <f ca="1">C34</f>
        <v>#REF!</v>
      </c>
      <c r="F42" s="316" t="e">
        <f ca="1">C35</f>
        <v>#REF!</v>
      </c>
      <c r="G42" s="309"/>
      <c r="H42" s="309"/>
      <c r="I42" s="317"/>
      <c r="J42" s="1885"/>
      <c r="K42" s="1207" t="s">
        <v>361</v>
      </c>
      <c r="L42" s="1902" t="s">
        <v>362</v>
      </c>
      <c r="M42" s="1208" t="s">
        <v>363</v>
      </c>
      <c r="N42" s="1903" t="s">
        <v>364</v>
      </c>
      <c r="O42" s="1904" t="s">
        <v>365</v>
      </c>
      <c r="P42" s="1883"/>
      <c r="V42" s="1883"/>
    </row>
    <row r="43" spans="1:26" ht="18">
      <c r="A43" s="3559" t="s">
        <v>2682</v>
      </c>
      <c r="B43" s="3560"/>
      <c r="C43" s="262">
        <f>IF(H33="正常操作",G33+G34+G35,G34+G35)</f>
        <v>0</v>
      </c>
      <c r="D43" s="315" t="s">
        <v>43</v>
      </c>
      <c r="E43" s="315" t="s">
        <v>44</v>
      </c>
      <c r="F43" s="316" t="s">
        <v>44</v>
      </c>
      <c r="G43" s="2551" t="s">
        <v>927</v>
      </c>
      <c r="H43" s="309"/>
      <c r="I43" s="317"/>
      <c r="J43" s="1885"/>
      <c r="K43" s="1209">
        <f>C4</f>
        <v>0</v>
      </c>
      <c r="L43" s="1210" t="e">
        <f ca="1">IF(L42="估价结果/万元",C19,C20)</f>
        <v>#REF!</v>
      </c>
      <c r="M43" s="1211" t="e">
        <f>C18</f>
        <v>#DIV/0!</v>
      </c>
      <c r="N43" s="1212" t="e">
        <f ca="1">IF(N42="测算结果/万元",G19,G20)</f>
        <v>#REF!</v>
      </c>
      <c r="O43" s="1213" t="e">
        <f ca="1">IF(O42="最终结果/万元",C32,C33)</f>
        <v>#REF!</v>
      </c>
      <c r="P43" s="1883"/>
      <c r="V43" s="1883"/>
    </row>
    <row r="44" spans="1:26" ht="18.75" thickBot="1">
      <c r="A44" s="3548" t="str">
        <f>IF(OR(项目基本情况!E8="抵押价格",项目基本情况!E8="已注销及未注销"),"3.抵押价格","——")</f>
        <v>——</v>
      </c>
      <c r="B44" s="3549"/>
      <c r="C44" s="262" t="str">
        <f>IF(A44="——","——",C42-C43)</f>
        <v>——</v>
      </c>
      <c r="D44" s="315" t="e">
        <f>ROUND(C44*10000/'数据-汇总表'!E3,0)</f>
        <v>#VALUE!</v>
      </c>
      <c r="E44" s="315" t="e">
        <f>ROUND(C44*10000/'数据-汇总表'!D3,0)</f>
        <v>#VALUE!</v>
      </c>
      <c r="F44" s="316" t="e">
        <f>ROUND(C44/('数据-汇总表'!D3/666.67),0)</f>
        <v>#VALUE!</v>
      </c>
      <c r="G44" s="309"/>
      <c r="H44" s="309"/>
      <c r="I44" s="317"/>
      <c r="J44" s="1885"/>
      <c r="K44" s="1214">
        <f>D4</f>
        <v>0</v>
      </c>
      <c r="L44" s="1215" t="e">
        <f ca="1">IF(L42="估价结果/万元",D19,D20)</f>
        <v>#REF!</v>
      </c>
      <c r="M44" s="1216" t="e">
        <f>D18</f>
        <v>#DIV/0!</v>
      </c>
      <c r="N44" s="1217"/>
      <c r="O44" s="1218"/>
      <c r="P44" s="1883"/>
      <c r="V44" s="1883"/>
    </row>
    <row r="45" spans="1:26" ht="15">
      <c r="A45" s="3554" t="str">
        <f>IF(项目基本情况!E8="已注销及未注销","4.抵押担保权已注销时的抵押价格",IF(项目基本情况!E8="已注销","3.抵押担保权已注销时的抵押价格","——"))</f>
        <v>——</v>
      </c>
      <c r="B45" s="3555"/>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550" t="str">
        <f>IF(项目基本情况!E9="抵押净值",IF(A45="——","4.抵押净值","5.抵押净值"),"——")</f>
        <v>——</v>
      </c>
      <c r="B46" s="3551"/>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598" t="s">
        <v>374</v>
      </c>
      <c r="B63" s="3599"/>
      <c r="C63" s="3600"/>
      <c r="D63" s="339" t="e">
        <f ca="1">ROUND(C42*F63,0)</f>
        <v>#REF!</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556" t="s">
        <v>378</v>
      </c>
      <c r="B64" s="3557"/>
      <c r="C64" s="3557"/>
      <c r="D64" s="3557"/>
      <c r="E64" s="3557"/>
      <c r="F64" s="3557"/>
      <c r="G64" s="3558"/>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552" t="s">
        <v>386</v>
      </c>
      <c r="B66" s="3553"/>
      <c r="C66" s="3553"/>
      <c r="D66" s="259" t="b">
        <f>IF(H66="情况1",0,IF(H66="情况2",D70,IF(H66="情况3",D71,IF(H66="情况4",D72))))</f>
        <v>0</v>
      </c>
      <c r="E66" s="963" t="str">
        <f>IF(H66="情况4","(销售额-原购置价)×税（费）率","销售额×税（费）率")</f>
        <v>销售额×税（费）率</v>
      </c>
      <c r="F66" s="348">
        <f>IF(H66="情况1","免征",'数据-取费表'!B41)</f>
        <v>0</v>
      </c>
      <c r="G66" s="349" t="s">
        <v>387</v>
      </c>
      <c r="H66" s="189"/>
      <c r="I66" s="1224"/>
      <c r="J66" s="1889"/>
      <c r="K66" s="1227">
        <v>1</v>
      </c>
      <c r="L66" s="3613" t="s">
        <v>385</v>
      </c>
      <c r="M66" s="3614"/>
      <c r="N66" s="2283"/>
      <c r="O66" s="2284"/>
      <c r="P66" s="2285"/>
      <c r="Q66" s="1883"/>
      <c r="R66" s="1883"/>
      <c r="S66" s="1883"/>
      <c r="T66" s="1883"/>
      <c r="U66" s="1883"/>
      <c r="V66" s="1883"/>
    </row>
    <row r="67" spans="1:22" ht="25.5" customHeight="1">
      <c r="A67" s="350" t="s">
        <v>389</v>
      </c>
      <c r="B67" s="3543" t="s">
        <v>390</v>
      </c>
      <c r="C67" s="3543"/>
      <c r="D67" s="351">
        <v>0</v>
      </c>
      <c r="E67" s="41" t="s">
        <v>391</v>
      </c>
      <c r="F67" s="62" t="s">
        <v>21</v>
      </c>
      <c r="G67" s="3601"/>
      <c r="H67" s="2972" t="s">
        <v>2932</v>
      </c>
      <c r="I67" s="2974"/>
      <c r="J67" s="1890"/>
      <c r="K67" s="1862">
        <v>2</v>
      </c>
      <c r="L67" s="3607" t="s">
        <v>388</v>
      </c>
      <c r="M67" s="3607"/>
      <c r="N67" s="1261">
        <f>'数据-取费表'!B2</f>
        <v>44622</v>
      </c>
      <c r="O67" s="1261"/>
      <c r="P67" s="1261"/>
      <c r="Q67" s="1883"/>
      <c r="R67" s="1883"/>
      <c r="S67" s="1883"/>
      <c r="T67" s="1883"/>
      <c r="U67" s="1883"/>
      <c r="V67" s="1883"/>
    </row>
    <row r="68" spans="1:22" ht="25.5" customHeight="1">
      <c r="A68" s="352"/>
      <c r="B68" s="3543" t="s">
        <v>393</v>
      </c>
      <c r="C68" s="3543"/>
      <c r="D68" s="353"/>
      <c r="E68" s="77"/>
      <c r="F68" s="354"/>
      <c r="G68" s="3602"/>
      <c r="H68" s="2973" t="s">
        <v>2933</v>
      </c>
      <c r="I68" s="2974"/>
      <c r="J68" s="1890"/>
      <c r="K68" s="1862">
        <v>3</v>
      </c>
      <c r="L68" s="3607" t="s">
        <v>392</v>
      </c>
      <c r="M68" s="3607"/>
      <c r="N68" s="1229" t="e">
        <f ca="1">C42</f>
        <v>#REF!</v>
      </c>
      <c r="O68" s="1229"/>
      <c r="P68" s="1229"/>
      <c r="Q68" s="1883"/>
      <c r="R68" s="1883"/>
      <c r="S68" s="1883"/>
      <c r="T68" s="1883"/>
      <c r="U68" s="1883"/>
      <c r="V68" s="1883"/>
    </row>
    <row r="69" spans="1:22" ht="23.45" customHeight="1">
      <c r="A69" s="355"/>
      <c r="B69" s="3543" t="s">
        <v>394</v>
      </c>
      <c r="C69" s="3543"/>
      <c r="D69" s="356"/>
      <c r="E69" s="73"/>
      <c r="F69" s="354"/>
      <c r="G69" s="3603"/>
      <c r="H69" s="2973" t="s">
        <v>2934</v>
      </c>
      <c r="I69" s="2974"/>
      <c r="J69" s="1890"/>
      <c r="K69" s="1230">
        <v>4</v>
      </c>
      <c r="L69" s="3617" t="s">
        <v>2831</v>
      </c>
      <c r="M69" s="3618"/>
      <c r="N69" s="1231" t="str">
        <f>C44</f>
        <v>——</v>
      </c>
      <c r="O69" s="1231"/>
      <c r="P69" s="1231"/>
      <c r="Q69" s="1883"/>
      <c r="R69" s="1883"/>
      <c r="S69" s="1883"/>
      <c r="T69" s="1883"/>
      <c r="U69" s="1883"/>
      <c r="V69" s="1883"/>
    </row>
    <row r="70" spans="1:22" ht="24" customHeight="1">
      <c r="A70" s="357" t="s">
        <v>395</v>
      </c>
      <c r="B70" s="3543" t="s">
        <v>396</v>
      </c>
      <c r="C70" s="3543"/>
      <c r="D70" s="356" t="e">
        <f ca="1">ROUND(D63*'数据-取费表'!B41/(1+'数据-取费表'!C42),0)</f>
        <v>#REF!</v>
      </c>
      <c r="E70" s="17" t="s">
        <v>397</v>
      </c>
      <c r="F70" s="358">
        <f>'数据-取费表'!B41</f>
        <v>0</v>
      </c>
      <c r="G70" s="359"/>
      <c r="H70" s="309"/>
      <c r="I70" s="1228"/>
      <c r="J70" s="1890"/>
      <c r="K70" s="2731"/>
      <c r="L70" s="2732"/>
      <c r="M70" s="2732"/>
      <c r="N70" s="2733" t="s">
        <v>2835</v>
      </c>
      <c r="O70" s="2732"/>
      <c r="P70" s="2734"/>
      <c r="Q70" s="1883"/>
      <c r="R70" s="1883"/>
      <c r="S70" s="1883"/>
      <c r="T70" s="1883"/>
      <c r="U70" s="1883"/>
      <c r="V70" s="1883"/>
    </row>
    <row r="71" spans="1:22" ht="12" customHeight="1">
      <c r="A71" s="357" t="s">
        <v>403</v>
      </c>
      <c r="B71" s="3544" t="s">
        <v>2963</v>
      </c>
      <c r="C71" s="3545"/>
      <c r="D71" s="356" t="e">
        <f ca="1">ROUND(D63*'数据-取费表'!B41/(1+'数据-取费表'!C42),0)</f>
        <v>#REF!</v>
      </c>
      <c r="E71" s="17" t="s">
        <v>397</v>
      </c>
      <c r="F71" s="358">
        <f>'数据-取费表'!B41</f>
        <v>0</v>
      </c>
      <c r="G71" s="359"/>
      <c r="H71" s="309"/>
      <c r="I71" s="1228"/>
      <c r="J71" s="1890"/>
      <c r="K71" s="2730" t="s">
        <v>398</v>
      </c>
      <c r="L71" s="3619" t="s">
        <v>399</v>
      </c>
      <c r="M71" s="3619"/>
      <c r="N71" s="2730" t="s">
        <v>400</v>
      </c>
      <c r="O71" s="2730" t="s">
        <v>401</v>
      </c>
      <c r="P71" s="2730" t="s">
        <v>402</v>
      </c>
      <c r="Q71" s="1883"/>
      <c r="R71" s="1883"/>
      <c r="S71" s="1883"/>
      <c r="T71" s="1883"/>
      <c r="U71" s="1883"/>
      <c r="V71" s="1883"/>
    </row>
    <row r="72" spans="1:22" ht="12" customHeight="1">
      <c r="A72" s="357" t="s">
        <v>405</v>
      </c>
      <c r="B72" s="3544" t="s">
        <v>2964</v>
      </c>
      <c r="C72" s="3545"/>
      <c r="D72" s="356" t="e">
        <f ca="1">C86</f>
        <v>#REF!</v>
      </c>
      <c r="E72" s="73" t="s">
        <v>406</v>
      </c>
      <c r="F72" s="358">
        <f>'数据-取费表'!B41</f>
        <v>0</v>
      </c>
      <c r="G72" s="359"/>
      <c r="H72" s="1234"/>
      <c r="I72" s="1228"/>
      <c r="J72" s="1890"/>
      <c r="K72" s="1862">
        <v>1</v>
      </c>
      <c r="L72" s="3594" t="s">
        <v>404</v>
      </c>
      <c r="M72" s="3594"/>
      <c r="N72" s="1232" t="b">
        <f>D66</f>
        <v>0</v>
      </c>
      <c r="O72" s="1746" t="str">
        <f>E66</f>
        <v>销售额×税（费）率</v>
      </c>
      <c r="P72" s="1233">
        <f>F66</f>
        <v>0</v>
      </c>
      <c r="Q72" s="1883"/>
      <c r="R72" s="1883"/>
      <c r="S72" s="1883"/>
      <c r="T72" s="1883"/>
      <c r="U72" s="1883"/>
      <c r="V72" s="1883"/>
    </row>
    <row r="73" spans="1:22" ht="24" customHeight="1">
      <c r="A73" s="3589" t="s">
        <v>408</v>
      </c>
      <c r="B73" s="3553"/>
      <c r="C73" s="3553"/>
      <c r="D73" s="360" t="e">
        <f ca="1">IF(H73="个人住宅",0,ROUND(D63*I73,0))</f>
        <v>#REF!</v>
      </c>
      <c r="E73" s="17" t="s">
        <v>409</v>
      </c>
      <c r="F73" s="358" t="str">
        <f>IF(H73="正常",I73,"免征")</f>
        <v>免征</v>
      </c>
      <c r="G73" s="359"/>
      <c r="H73" s="189"/>
      <c r="I73" s="358">
        <f>'数据-取费表'!B49</f>
        <v>0</v>
      </c>
      <c r="J73" s="1890"/>
      <c r="K73" s="1862">
        <v>2</v>
      </c>
      <c r="L73" s="3594" t="s">
        <v>407</v>
      </c>
      <c r="M73" s="3594"/>
      <c r="N73" s="1232" t="e">
        <f t="shared" ref="N73:P74" ca="1" si="1">D73</f>
        <v>#REF!</v>
      </c>
      <c r="O73" s="1746" t="str">
        <f t="shared" si="1"/>
        <v>销售额×税（费）率</v>
      </c>
      <c r="P73" s="1233" t="str">
        <f t="shared" si="1"/>
        <v>免征</v>
      </c>
      <c r="Q73" s="1883"/>
      <c r="R73" s="1883"/>
      <c r="S73" s="1883"/>
      <c r="T73" s="1883"/>
      <c r="U73" s="1883"/>
      <c r="V73" s="1883"/>
    </row>
    <row r="74" spans="1:22" ht="24.75">
      <c r="A74" s="3589" t="s">
        <v>411</v>
      </c>
      <c r="B74" s="3553"/>
      <c r="C74" s="3553"/>
      <c r="D74" s="360" t="e">
        <f ca="1">IF(H74="个人住宅",D75,D76)</f>
        <v>#REF!</v>
      </c>
      <c r="E74" s="17" t="s">
        <v>412</v>
      </c>
      <c r="F74" s="358" t="str">
        <f>IF(H74="正常",F76,"免征")</f>
        <v>免征</v>
      </c>
      <c r="G74" s="953" t="s">
        <v>413</v>
      </c>
      <c r="H74" s="361"/>
      <c r="I74" s="42"/>
      <c r="J74" s="1890"/>
      <c r="K74" s="1862">
        <v>3</v>
      </c>
      <c r="L74" s="3594" t="s">
        <v>410</v>
      </c>
      <c r="M74" s="3594"/>
      <c r="N74" s="1232" t="e">
        <f t="shared" ca="1" si="1"/>
        <v>#REF!</v>
      </c>
      <c r="O74" s="1746" t="str">
        <f t="shared" si="1"/>
        <v>增值额×税（费）率</v>
      </c>
      <c r="P74" s="1235" t="str">
        <f t="shared" si="1"/>
        <v>免征</v>
      </c>
      <c r="Q74" s="1883"/>
      <c r="R74" s="1883"/>
      <c r="S74" s="1883"/>
      <c r="T74" s="1883"/>
      <c r="U74" s="1883"/>
      <c r="V74" s="1883"/>
    </row>
    <row r="75" spans="1:22" ht="12.75">
      <c r="A75" s="357" t="s">
        <v>414</v>
      </c>
      <c r="B75" s="3541" t="s">
        <v>415</v>
      </c>
      <c r="C75" s="3577"/>
      <c r="D75" s="362">
        <v>0</v>
      </c>
      <c r="E75" s="41" t="s">
        <v>416</v>
      </c>
      <c r="F75" s="363"/>
      <c r="G75" s="359"/>
      <c r="H75" s="42"/>
      <c r="I75" s="42"/>
      <c r="J75" s="1890"/>
      <c r="K75" s="2724">
        <f>IF(H77="非个人房产","",4)</f>
        <v>4</v>
      </c>
      <c r="L75" s="3594" t="str">
        <f>IF(H77="非个人房产","——","个人所得税")</f>
        <v>个人所得税</v>
      </c>
      <c r="M75" s="3594"/>
      <c r="N75" s="1236">
        <f>D77</f>
        <v>0</v>
      </c>
      <c r="O75" s="1759" t="str">
        <f>E77</f>
        <v>差额计税</v>
      </c>
      <c r="P75" s="1237">
        <f>F77</f>
        <v>0.01</v>
      </c>
      <c r="Q75" s="1883"/>
      <c r="R75" s="1883"/>
      <c r="S75" s="1883"/>
      <c r="T75" s="1883"/>
      <c r="U75" s="1883"/>
      <c r="V75" s="1883"/>
    </row>
    <row r="76" spans="1:22" ht="24.75">
      <c r="A76" s="357" t="s">
        <v>395</v>
      </c>
      <c r="B76" s="3541" t="s">
        <v>418</v>
      </c>
      <c r="C76" s="3542"/>
      <c r="D76" s="360" t="e">
        <f ca="1">IF(H76="转让取得",C99,C115)</f>
        <v>#REF!</v>
      </c>
      <c r="E76" s="17" t="s">
        <v>419</v>
      </c>
      <c r="F76" s="53" t="s">
        <v>21</v>
      </c>
      <c r="G76" s="359"/>
      <c r="H76" s="361"/>
      <c r="I76" s="42"/>
      <c r="J76" s="1890"/>
      <c r="K76" s="2724" t="str">
        <f>IF(项目基本情况!K6="上海银行",IF(K75="",4,K75+1),"")</f>
        <v/>
      </c>
      <c r="L76" s="3609" t="str">
        <f>IF(项目基本情况!K6="上海银行","其他处置费用","")</f>
        <v/>
      </c>
      <c r="M76" s="3610"/>
      <c r="N76" s="1232" t="str">
        <f>IF(项目基本情况!K6="上海银行",N89,"")</f>
        <v/>
      </c>
      <c r="O76" s="3611" t="str">
        <f>IF(项目基本情况!K6="上海银行","包含处置中涉及的律师、诉讼、拍卖、评估等费用","")</f>
        <v/>
      </c>
      <c r="P76" s="3612"/>
      <c r="Q76" s="1883"/>
      <c r="R76" s="1883"/>
      <c r="S76" s="1883"/>
      <c r="T76" s="1883"/>
      <c r="U76" s="1883"/>
      <c r="V76" s="1883"/>
    </row>
    <row r="77" spans="1:22" ht="24.75" thickBot="1">
      <c r="A77" s="3596" t="s">
        <v>421</v>
      </c>
      <c r="B77" s="3597"/>
      <c r="C77" s="3597"/>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2935</v>
      </c>
      <c r="J77" s="1890"/>
      <c r="K77" s="3595">
        <f>IF(AND(K75="",K76=""),4,IF(项目基本情况!K6="上海银行",K76+1,K75+1))</f>
        <v>5</v>
      </c>
      <c r="L77" s="3594" t="s">
        <v>2832</v>
      </c>
      <c r="M77" s="2729" t="s">
        <v>417</v>
      </c>
      <c r="N77" s="1238"/>
      <c r="O77" s="1239">
        <f ca="1">SUMIF(N72:N76,"&lt;9e307")</f>
        <v>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595"/>
      <c r="L78" s="3594"/>
      <c r="M78" s="2729" t="s">
        <v>420</v>
      </c>
      <c r="N78" s="1238"/>
      <c r="O78" s="1239" t="str">
        <f ca="1">NUMBERSTRING(INT(O77*10000),2)&amp;"元整"</f>
        <v>零元整</v>
      </c>
      <c r="P78" s="1240"/>
      <c r="Q78" s="1883"/>
      <c r="R78" s="1883"/>
      <c r="S78" s="1883"/>
      <c r="T78" s="1883"/>
      <c r="U78" s="1883"/>
      <c r="V78" s="1883"/>
    </row>
    <row r="79" spans="1:22" ht="13.5" thickBot="1">
      <c r="A79" s="3561" t="s">
        <v>422</v>
      </c>
      <c r="B79" s="3561"/>
      <c r="C79" s="3561"/>
      <c r="D79" s="3561"/>
      <c r="E79" s="3561"/>
      <c r="F79" s="42"/>
      <c r="G79" s="42"/>
      <c r="H79" s="973"/>
      <c r="I79" s="309"/>
      <c r="J79" s="1890"/>
      <c r="K79" s="3615">
        <f>K77+1</f>
        <v>6</v>
      </c>
      <c r="L79" s="3594" t="s">
        <v>2833</v>
      </c>
      <c r="M79" s="2729" t="s">
        <v>417</v>
      </c>
      <c r="N79" s="1238"/>
      <c r="O79" s="1239" t="e">
        <f ca="1">N69-O77</f>
        <v>#VALUE!</v>
      </c>
      <c r="P79" s="1240"/>
      <c r="Q79" s="1883"/>
      <c r="R79" s="1883"/>
      <c r="S79" s="1883"/>
      <c r="T79" s="1883"/>
      <c r="U79" s="1883"/>
      <c r="V79" s="1883"/>
    </row>
    <row r="80" spans="1:22" ht="12.75">
      <c r="A80" s="3562" t="s">
        <v>423</v>
      </c>
      <c r="B80" s="3563"/>
      <c r="C80" s="964"/>
      <c r="D80" s="964" t="s">
        <v>424</v>
      </c>
      <c r="E80" s="364" t="s">
        <v>425</v>
      </c>
      <c r="F80" s="42"/>
      <c r="G80" s="42"/>
      <c r="H80" s="973"/>
      <c r="I80" s="309"/>
      <c r="J80" s="1883"/>
      <c r="K80" s="3616"/>
      <c r="L80" s="3594"/>
      <c r="M80" s="2729" t="s">
        <v>420</v>
      </c>
      <c r="N80" s="1238"/>
      <c r="O80" s="1239" t="e">
        <f ca="1">NUMBERSTRING(INT(O79*10000),2)&amp;"元整"</f>
        <v>#VALUE!</v>
      </c>
      <c r="P80" s="1240"/>
      <c r="Q80" s="1883"/>
      <c r="R80" s="1883"/>
      <c r="S80" s="1883"/>
      <c r="T80" s="1883"/>
      <c r="U80" s="1883"/>
      <c r="V80" s="1883"/>
    </row>
    <row r="81" spans="1:26" ht="13.5" thickBot="1">
      <c r="A81" s="375" t="s">
        <v>1797</v>
      </c>
      <c r="B81" s="365" t="s">
        <v>426</v>
      </c>
      <c r="C81" s="366" t="e">
        <f ca="1">ROUND((C82+C83)/(1+'数据-取费表'!C42),0)</f>
        <v>#REF!</v>
      </c>
      <c r="D81" s="367"/>
      <c r="E81" s="368"/>
      <c r="F81" s="42"/>
      <c r="G81" s="42"/>
      <c r="H81" s="973"/>
      <c r="I81" s="309"/>
      <c r="J81" s="1883"/>
      <c r="K81" s="2724">
        <f>K79+1</f>
        <v>7</v>
      </c>
      <c r="L81" s="3592" t="s">
        <v>2834</v>
      </c>
      <c r="M81" s="3593"/>
      <c r="N81" s="1242"/>
      <c r="O81" s="1243" t="e">
        <f ca="1">ROUND(O79*10000/'数据-汇总表'!E3,0)</f>
        <v>#VALUE!</v>
      </c>
      <c r="P81" s="1244"/>
      <c r="Q81" s="1883"/>
      <c r="R81" s="1883"/>
      <c r="S81" s="1883"/>
      <c r="T81" s="1883"/>
      <c r="U81" s="1883"/>
      <c r="V81" s="1883"/>
    </row>
    <row r="82" spans="1:26" ht="13.5" thickTop="1">
      <c r="A82" s="369" t="s">
        <v>1798</v>
      </c>
      <c r="B82" s="370" t="s">
        <v>427</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1799</v>
      </c>
      <c r="B83" s="370" t="s">
        <v>428</v>
      </c>
      <c r="C83" s="374"/>
      <c r="D83" s="372"/>
      <c r="E83" s="373"/>
      <c r="F83" s="42"/>
      <c r="G83" s="42"/>
      <c r="H83" s="973"/>
      <c r="I83" s="309"/>
      <c r="J83" s="1883"/>
      <c r="K83" s="3608" t="s">
        <v>2822</v>
      </c>
      <c r="L83" s="2735" t="s">
        <v>2823</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1800</v>
      </c>
      <c r="B84" s="376" t="s">
        <v>429</v>
      </c>
      <c r="C84" s="377"/>
      <c r="D84" s="378" t="s">
        <v>19</v>
      </c>
      <c r="E84" s="2753" t="s">
        <v>2877</v>
      </c>
      <c r="F84" s="42"/>
      <c r="G84" s="42"/>
      <c r="H84" s="973"/>
      <c r="I84" s="309"/>
      <c r="J84" s="1883"/>
      <c r="K84" s="3608"/>
      <c r="L84" s="2735" t="s">
        <v>2824</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2825</v>
      </c>
      <c r="P84" s="1883"/>
      <c r="Q84" s="1883"/>
      <c r="R84" s="1883"/>
      <c r="S84" s="1883"/>
      <c r="T84" s="1883"/>
      <c r="U84" s="1883"/>
      <c r="V84" s="1883"/>
    </row>
    <row r="85" spans="1:26" ht="12.75">
      <c r="A85" s="375" t="s">
        <v>1801</v>
      </c>
      <c r="B85" s="376" t="s">
        <v>430</v>
      </c>
      <c r="C85" s="379" t="e">
        <f ca="1">C81-C84</f>
        <v>#REF!</v>
      </c>
      <c r="D85" s="372" t="s">
        <v>19</v>
      </c>
      <c r="E85" s="373"/>
      <c r="F85" s="42"/>
      <c r="G85" s="42"/>
      <c r="H85" s="973"/>
      <c r="I85" s="309"/>
      <c r="J85" s="1883"/>
      <c r="K85" s="3608"/>
      <c r="L85" s="2735" t="s">
        <v>2826</v>
      </c>
      <c r="M85" s="2725" t="e">
        <f>IF(N69&gt;1000,N69*0.1%,IF(AND(N69&gt;500,N69&lt;=1000),N69*0.5%,IF(AND(N69&gt;50,N69&lt;=500),N69*1%,IF(AND(N69&gt;1,N69&lt;=50),N69*1.5%))))</f>
        <v>#VALUE!</v>
      </c>
      <c r="N85" s="53" t="e">
        <f t="shared" si="2"/>
        <v>#VALUE!</v>
      </c>
      <c r="O85" s="1883" t="s">
        <v>2825</v>
      </c>
      <c r="P85" s="1883"/>
      <c r="Q85" s="1883"/>
      <c r="R85" s="1883"/>
      <c r="S85" s="1883"/>
      <c r="T85" s="1883"/>
      <c r="U85" s="1883"/>
      <c r="V85" s="1883"/>
    </row>
    <row r="86" spans="1:26" ht="13.5" thickBot="1">
      <c r="A86" s="380" t="s">
        <v>1802</v>
      </c>
      <c r="B86" s="381" t="s">
        <v>431</v>
      </c>
      <c r="C86" s="382" t="e">
        <f ca="1">IF(C85&lt;=0,0,ROUND(C85*D86,0))</f>
        <v>#REF!</v>
      </c>
      <c r="D86" s="383">
        <f>'数据-取费表'!B41</f>
        <v>0</v>
      </c>
      <c r="E86" s="384"/>
      <c r="F86" s="42"/>
      <c r="G86" s="42"/>
      <c r="H86" s="973"/>
      <c r="I86" s="309"/>
      <c r="J86" s="1883"/>
      <c r="K86" s="3608"/>
      <c r="L86" s="2735" t="s">
        <v>2827</v>
      </c>
      <c r="M86" s="2725" t="e">
        <f>N69*0.5%</f>
        <v>#VALUE!</v>
      </c>
      <c r="N86" s="53" t="e">
        <f>IF(M86&gt;0.5,0.5,ROUND(M86,0))</f>
        <v>#VALUE!</v>
      </c>
      <c r="O86" s="1883" t="s">
        <v>2828</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08"/>
      <c r="L87" s="2735" t="s">
        <v>2829</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587" t="s">
        <v>432</v>
      </c>
      <c r="B88" s="3588"/>
      <c r="C88" s="3588"/>
      <c r="D88" s="3588"/>
      <c r="E88" s="3588"/>
      <c r="F88" s="3588"/>
      <c r="G88" s="3588"/>
      <c r="H88" s="3588"/>
      <c r="I88" s="1251"/>
      <c r="J88" s="1891"/>
      <c r="K88" s="3608"/>
      <c r="L88" s="2735" t="s">
        <v>2830</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562" t="s">
        <v>423</v>
      </c>
      <c r="B89" s="3563"/>
      <c r="C89" s="964"/>
      <c r="D89" s="964" t="s">
        <v>424</v>
      </c>
      <c r="E89" s="385" t="s">
        <v>433</v>
      </c>
      <c r="F89" s="386"/>
      <c r="G89" s="386"/>
      <c r="H89" s="387"/>
      <c r="I89" s="1252"/>
      <c r="J89" s="1893"/>
      <c r="K89" s="3608"/>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1797</v>
      </c>
      <c r="B90" s="376" t="s">
        <v>434</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1803</v>
      </c>
      <c r="B91" s="346" t="s">
        <v>435</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1804</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1805</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1806</v>
      </c>
      <c r="B94" s="394" t="s">
        <v>440</v>
      </c>
      <c r="C94" s="372">
        <f>IF(F93="购房发票",ROUND(C93*H93*5%,0),0)</f>
        <v>0</v>
      </c>
      <c r="D94" s="395">
        <v>0.05</v>
      </c>
      <c r="E94" s="3544" t="s">
        <v>441</v>
      </c>
      <c r="F94" s="3543"/>
      <c r="G94" s="3543"/>
      <c r="H94" s="3586"/>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1807</v>
      </c>
      <c r="B95" s="370" t="s">
        <v>442</v>
      </c>
      <c r="C95" s="372">
        <f>ROUND(IF(G95="个人买卖住房",0,IF(G95="2016年5月1日前购买",C93*D95,C93*D95/(1+'数据-取费表'!C42))),0)</f>
        <v>0</v>
      </c>
      <c r="D95" s="396">
        <f>'数据-取费表'!B48+'数据-取费表'!B49</f>
        <v>0</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1808</v>
      </c>
      <c r="B96" s="370" t="s">
        <v>444</v>
      </c>
      <c r="C96" s="399" t="e">
        <f ca="1">ROUND(D63*D96/(1+'数据-取费表'!C42),0)</f>
        <v>#REF!</v>
      </c>
      <c r="D96" s="400">
        <f>'数据-取费表'!B43</f>
        <v>0</v>
      </c>
      <c r="E96" s="3578" t="s">
        <v>2389</v>
      </c>
      <c r="F96" s="3579"/>
      <c r="G96" s="3579"/>
      <c r="H96" s="3580"/>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1809</v>
      </c>
      <c r="B97" s="376" t="s">
        <v>445</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1810</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1811</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587" t="s">
        <v>448</v>
      </c>
      <c r="B101" s="3588"/>
      <c r="C101" s="3588"/>
      <c r="D101" s="3588"/>
      <c r="E101" s="3588"/>
      <c r="F101" s="3588"/>
      <c r="G101" s="3588"/>
      <c r="H101" s="3588"/>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562" t="s">
        <v>423</v>
      </c>
      <c r="B102" s="3563"/>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1797</v>
      </c>
      <c r="B103" s="376" t="s">
        <v>434</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1803</v>
      </c>
      <c r="B104" s="346" t="s">
        <v>435</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1804</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1805</v>
      </c>
      <c r="B106" s="370" t="s">
        <v>450</v>
      </c>
      <c r="C106" s="410"/>
      <c r="D106" s="400"/>
      <c r="E106" s="411" t="s">
        <v>451</v>
      </c>
      <c r="F106" s="956"/>
      <c r="G106" s="412" t="s">
        <v>452</v>
      </c>
      <c r="H106" s="413"/>
      <c r="I106" s="11"/>
      <c r="J106" s="1888"/>
      <c r="K106" s="3209" t="s">
        <v>2956</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1806</v>
      </c>
      <c r="B107" s="370" t="s">
        <v>442</v>
      </c>
      <c r="C107" s="399">
        <f>ROUND(C106*D107,0)</f>
        <v>0</v>
      </c>
      <c r="D107" s="400">
        <f>'数据-取费表'!B48+'数据-取费表'!B49</f>
        <v>0</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1808</v>
      </c>
      <c r="B108" s="370" t="s">
        <v>454</v>
      </c>
      <c r="C108" s="410"/>
      <c r="D108" s="400"/>
      <c r="E108" s="411" t="str">
        <f>IF(H106="-","土地取得成本中已包含该笔费用"," ")</f>
        <v xml:space="preserve"> </v>
      </c>
      <c r="F108" s="956"/>
      <c r="G108" s="3538" t="s">
        <v>2927</v>
      </c>
      <c r="H108" s="3539"/>
      <c r="I108" s="2825"/>
      <c r="J108" s="1888"/>
      <c r="K108" s="3209" t="s">
        <v>2957</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1812</v>
      </c>
      <c r="B109" s="370" t="s">
        <v>455</v>
      </c>
      <c r="C109" s="399">
        <f>IF(H109="——",IF(F1="现房",'剩余法-现房'!C18,0),I109)</f>
        <v>0</v>
      </c>
      <c r="D109" s="400"/>
      <c r="E109" s="3581" t="s">
        <v>456</v>
      </c>
      <c r="F109" s="3579"/>
      <c r="G109" s="3579"/>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1813</v>
      </c>
      <c r="B110" s="370" t="s">
        <v>457</v>
      </c>
      <c r="C110" s="399">
        <f>ROUND((C105+C108+C109)*D110,0)</f>
        <v>0</v>
      </c>
      <c r="D110" s="3240">
        <v>0</v>
      </c>
      <c r="E110" s="3581" t="s">
        <v>458</v>
      </c>
      <c r="F110" s="3579"/>
      <c r="G110" s="3579"/>
      <c r="H110" s="3580"/>
      <c r="I110" s="11"/>
      <c r="J110" s="1888"/>
      <c r="K110" s="3210" t="s">
        <v>2958</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1814</v>
      </c>
      <c r="B111" s="370" t="s">
        <v>444</v>
      </c>
      <c r="C111" s="399" t="e">
        <f ca="1">ROUND(D63*D111/(1+'数据-取费表'!C42),0)</f>
        <v>#REF!</v>
      </c>
      <c r="D111" s="400">
        <f>'数据-取费表'!B43</f>
        <v>0</v>
      </c>
      <c r="E111" s="3578" t="s">
        <v>2389</v>
      </c>
      <c r="F111" s="3579"/>
      <c r="G111" s="3579"/>
      <c r="H111" s="3580"/>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1815</v>
      </c>
      <c r="B112" s="370" t="s">
        <v>459</v>
      </c>
      <c r="C112" s="399">
        <f>ROUND(C108*D112,0)</f>
        <v>0</v>
      </c>
      <c r="D112" s="400">
        <v>0.2</v>
      </c>
      <c r="E112" s="3581" t="s">
        <v>2407</v>
      </c>
      <c r="F112" s="3579"/>
      <c r="G112" s="3579"/>
      <c r="H112" s="3580"/>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1809</v>
      </c>
      <c r="B113" s="376" t="s">
        <v>445</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1810</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1811</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t="e">
        <f ca="1">C36</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1658</v>
      </c>
      <c r="B3" s="1961"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1816</v>
      </c>
      <c r="B6" s="2514"/>
      <c r="C6" s="2515">
        <f>SUM(C10:K10)</f>
        <v>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c r="D7" s="430"/>
      <c r="E7" s="430"/>
      <c r="F7" s="430"/>
      <c r="G7" s="430"/>
      <c r="H7" s="430"/>
      <c r="I7" s="430"/>
      <c r="J7" s="430"/>
      <c r="K7" s="431"/>
      <c r="AA7" s="1966"/>
      <c r="AB7" s="1966"/>
      <c r="AC7" s="1966"/>
      <c r="AD7" s="1966"/>
      <c r="AE7" s="1966"/>
    </row>
    <row r="8" spans="1:31" s="1969" customFormat="1" ht="13.5" customHeight="1">
      <c r="A8" s="775" t="s">
        <v>1819</v>
      </c>
      <c r="B8" s="259" t="s">
        <v>466</v>
      </c>
      <c r="C8" s="2519"/>
      <c r="D8" s="2519"/>
      <c r="E8" s="2519"/>
      <c r="F8" s="2519"/>
      <c r="G8" s="2519"/>
      <c r="H8" s="2519"/>
      <c r="I8" s="2519"/>
      <c r="J8" s="2519"/>
      <c r="K8" s="2520"/>
      <c r="AA8" s="1968"/>
      <c r="AB8" s="1968"/>
      <c r="AC8" s="1968"/>
      <c r="AD8" s="1968"/>
      <c r="AE8" s="1968"/>
    </row>
    <row r="9" spans="1:31" s="1969" customFormat="1" ht="13.5" customHeight="1">
      <c r="A9" s="775" t="s">
        <v>1820</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1821</v>
      </c>
      <c r="B10" s="2507" t="s">
        <v>468</v>
      </c>
      <c r="C10" s="2710"/>
      <c r="D10" s="2710"/>
      <c r="E10" s="2710"/>
      <c r="F10" s="2522"/>
      <c r="G10" s="2522"/>
      <c r="H10" s="2522"/>
      <c r="I10" s="2522"/>
      <c r="J10" s="2522"/>
      <c r="K10" s="2523"/>
      <c r="AA10" s="1968"/>
      <c r="AB10" s="1968"/>
      <c r="AC10" s="1968"/>
      <c r="AD10" s="1968"/>
      <c r="AE10" s="1968"/>
    </row>
    <row r="11" spans="1:31" s="1965" customFormat="1" ht="16.5" customHeight="1">
      <c r="A11" s="2524" t="s">
        <v>1817</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1822</v>
      </c>
      <c r="B13" s="2528" t="s">
        <v>473</v>
      </c>
      <c r="C13" s="443">
        <f ca="1">IF(B1="",'数据-取费表'!P16,INDIRECT("'数据-取费表'!p"&amp;$K$1)+INDIRECT("'数据-取费表'!t"&amp;$K$1))</f>
        <v>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1823</v>
      </c>
      <c r="B14" s="2528" t="s">
        <v>474</v>
      </c>
      <c r="C14" s="53">
        <f ca="1">ROUND(C13*F14,0)</f>
        <v>0</v>
      </c>
      <c r="D14" s="2529"/>
      <c r="E14" s="2530"/>
      <c r="F14" s="2532">
        <f>'数据-取费表'!B33</f>
        <v>0</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1824</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1825</v>
      </c>
      <c r="B16" s="2528" t="s">
        <v>478</v>
      </c>
      <c r="C16" s="53">
        <f ca="1">ROUND(D16*E16/10000,0)</f>
        <v>0</v>
      </c>
      <c r="D16" s="2529">
        <f ca="1">IF(B1="",'数据-汇总表'!E3,INDIRECT("'数据-取费表'!K"&amp;$K$1)+INDIRECT("'数据-取费表'!S"&amp;$K$1))</f>
        <v>0</v>
      </c>
      <c r="E16" s="53">
        <f>'数据-取费表'!B35</f>
        <v>0</v>
      </c>
      <c r="F16" s="2532"/>
      <c r="G16" s="2497"/>
      <c r="H16" s="2498"/>
      <c r="I16" s="2498"/>
      <c r="J16" s="2498"/>
      <c r="K16" s="2499"/>
      <c r="AA16" s="1970"/>
      <c r="AB16" s="1970"/>
      <c r="AC16" s="1970"/>
      <c r="AD16" s="1970"/>
      <c r="AE16" s="1970"/>
    </row>
    <row r="17" spans="1:26" s="1970" customFormat="1" ht="13.5" customHeight="1">
      <c r="A17" s="2527" t="s">
        <v>1826</v>
      </c>
      <c r="B17" s="2528" t="s">
        <v>479</v>
      </c>
      <c r="C17" s="2533">
        <f ca="1">ROUND(C13*F17,0)</f>
        <v>0</v>
      </c>
      <c r="D17" s="468"/>
      <c r="E17" s="2533"/>
      <c r="F17" s="2534">
        <f>'数据-取费表'!B36</f>
        <v>0</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1827</v>
      </c>
      <c r="B18" s="2536" t="s">
        <v>481</v>
      </c>
      <c r="C18" s="2537">
        <f ca="1">SUM(C13:C17)</f>
        <v>0</v>
      </c>
      <c r="D18" s="2538"/>
      <c r="E18" s="461"/>
      <c r="F18" s="461"/>
      <c r="G18" s="2501" t="s">
        <v>2390</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1828</v>
      </c>
      <c r="B19" s="2536" t="s">
        <v>482</v>
      </c>
      <c r="C19" s="2493">
        <f ca="1">ROUND(D19*E19/10000,0)</f>
        <v>0</v>
      </c>
      <c r="D19" s="2539">
        <f ca="1">D16</f>
        <v>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1829</v>
      </c>
      <c r="B20" s="2536" t="s">
        <v>484</v>
      </c>
      <c r="C20" s="2493">
        <f ca="1">C21+C22-IF(B1="",'数据-取费表'!B29,IF(G20="已全部缴纳",C21+C22,H20))</f>
        <v>0</v>
      </c>
      <c r="D20" s="2539"/>
      <c r="E20" s="2493"/>
      <c r="F20" s="2540"/>
      <c r="G20" s="2742"/>
      <c r="H20" s="2495"/>
      <c r="I20" s="2496" t="s">
        <v>2603</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1830</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1831</v>
      </c>
      <c r="B22" s="2528" t="s">
        <v>486</v>
      </c>
      <c r="C22" s="53">
        <f ca="1">ROUND(D22*E22/10000,0)</f>
        <v>0</v>
      </c>
      <c r="D22" s="2529">
        <f ca="1">IF(B1="",'数据-汇总表'!E6,IF(INDIRECT("'数据-取费表'!c"&amp;$K$1)="住宅",INDIRECT("'数据-取费表'!s"&amp;$K$1),INDIRECT("'数据-取费表'!k"&amp;$K$1)+INDIRECT("'数据-取费表'!s"&amp;$K$1)))</f>
        <v>0</v>
      </c>
      <c r="E22" s="53">
        <f>'数据-取费表'!B28</f>
        <v>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1832</v>
      </c>
      <c r="B23" s="2714" t="s">
        <v>2782</v>
      </c>
      <c r="C23" s="2537">
        <f ca="1">ROUND((C18+C19+C20)*F23,0)</f>
        <v>0</v>
      </c>
      <c r="D23" s="461"/>
      <c r="E23" s="461"/>
      <c r="F23" s="2541">
        <f>'数据-取费表'!B37</f>
        <v>0</v>
      </c>
      <c r="G23" s="2497" t="s">
        <v>2391</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1833</v>
      </c>
      <c r="B24" s="2714" t="s">
        <v>2785</v>
      </c>
      <c r="C24" s="2537">
        <f>ROUND(C6*F24,0)</f>
        <v>0</v>
      </c>
      <c r="D24" s="468"/>
      <c r="E24" s="466"/>
      <c r="F24" s="2541">
        <f>'数据-取费表'!B38</f>
        <v>0</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1834</v>
      </c>
      <c r="B25" s="2714" t="s">
        <v>2783</v>
      </c>
      <c r="C25" s="3241">
        <f>F25</f>
        <v>0</v>
      </c>
      <c r="D25" s="455" t="s">
        <v>2779</v>
      </c>
      <c r="E25" s="462"/>
      <c r="F25" s="2541">
        <f>'数据-取费表'!B48+'数据-取费表'!B49</f>
        <v>0</v>
      </c>
      <c r="G25" s="2505" t="s">
        <v>2254</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1835</v>
      </c>
      <c r="B26" s="2715" t="s">
        <v>2784</v>
      </c>
      <c r="C26" s="2542" t="e">
        <f ca="1">C28</f>
        <v>#VALUE!</v>
      </c>
      <c r="D26" s="460" t="e">
        <f ca="1">C27</f>
        <v>#VALUE!</v>
      </c>
      <c r="E26" s="462" t="s">
        <v>487</v>
      </c>
      <c r="F26" s="464" t="e">
        <f ca="1">'数据-取费表'!B40</f>
        <v>#VALUE!</v>
      </c>
      <c r="G26" s="2392" t="str">
        <f>IF('数据-取费表'!B22&lt;=1,"单利计息。","复利计息。")&amp;"后续开发成本、管理费用及销售费用产生的利息。"</f>
        <v>单利计息。后续开发成本、管理费用及销售费用产生的利息。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1830</v>
      </c>
      <c r="B27" s="2543" t="s">
        <v>488</v>
      </c>
      <c r="C27" s="2544" t="e">
        <f ca="1">ROUND(IF('数据-取费表'!B22&lt;=1,(1+C25)*F26*'数据-取费表'!B24,(1+C25)*(POWER((1+F26),'数据-取费表'!B24)-1)),4)</f>
        <v>#VALUE!</v>
      </c>
      <c r="D27" s="465"/>
      <c r="E27" s="466"/>
      <c r="F27" s="467"/>
      <c r="G27" s="2392" t="str">
        <f>IF('数据-取费表'!B22&lt;=1,"（1+取得税费率/(1+5%)）×年利率×建设期","（1+取得税费率）/(1+5%)×((1+年利率)^建设期-1)")</f>
        <v>（1+取得税费率/(1+5%)）×年利率×建设期</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1831</v>
      </c>
      <c r="B28" s="2543" t="s">
        <v>2786</v>
      </c>
      <c r="C28" s="2545" t="e">
        <f ca="1">ROUND(IF('数据-取费表'!B22&lt;=1,(C18+C19+C20+C23+C24)*F26*'数据-取费表'!B24/2,(C18+C19+C20+C23+C24)*(POWER((1+F26),'数据-取费表'!B24/2)-1)),0)</f>
        <v>#VALUE!</v>
      </c>
      <c r="D28" s="465"/>
      <c r="E28" s="466"/>
      <c r="F28" s="467"/>
      <c r="G28" s="2392" t="str">
        <f>IF('数据-取费表'!B22&lt;=1,"（1）-（4）项×年利率×建设期÷2","（1）-（4）项×((1+年利率)^(建设期÷2)-1)")</f>
        <v>（1）-（4）项×年利率×建设期÷2</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1836</v>
      </c>
      <c r="B29" s="2536" t="s">
        <v>489</v>
      </c>
      <c r="C29" s="2537">
        <f>ROUND(C6*F29/(1+'数据-取费表'!C42),0)</f>
        <v>0</v>
      </c>
      <c r="D29" s="461"/>
      <c r="E29" s="461"/>
      <c r="F29" s="2716">
        <f>'数据-取费表'!B41</f>
        <v>0</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1837</v>
      </c>
      <c r="B30" s="2547" t="s">
        <v>492</v>
      </c>
      <c r="C30" s="2542" t="e">
        <f ca="1">C31</f>
        <v>#VALUE!</v>
      </c>
      <c r="D30" s="470" t="e">
        <f ca="1">C32</f>
        <v>#VALUE!</v>
      </c>
      <c r="E30" s="462" t="s">
        <v>487</v>
      </c>
      <c r="F30" s="464"/>
      <c r="G30" s="2505" t="s">
        <v>2905</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1830</v>
      </c>
      <c r="B31" s="2543"/>
      <c r="C31" s="443" t="e">
        <f ca="1">C18+C19+C20+C23+C24+C26+C29</f>
        <v>#VALUE!</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1831</v>
      </c>
      <c r="B32" s="2543"/>
      <c r="C32" s="53" t="e">
        <f ca="1">ROUND(C25+D26,4)</f>
        <v>#VALUE!</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2781</v>
      </c>
      <c r="B33" s="2711" t="s">
        <v>2780</v>
      </c>
      <c r="C33" s="471" t="e">
        <f ca="1">C35</f>
        <v>#DIV/0!</v>
      </c>
      <c r="D33" s="460" t="e">
        <f ca="1">C34</f>
        <v>#DIV/0!</v>
      </c>
      <c r="E33" s="462" t="s">
        <v>487</v>
      </c>
      <c r="F33" s="472" t="e">
        <f ca="1">IF(B1="",'数据-取费表'!Q16,INDIRECT("'数据-取费表'!q"&amp;$K$1))</f>
        <v>#DIV/0!</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1830</v>
      </c>
      <c r="B34" s="2548" t="s">
        <v>493</v>
      </c>
      <c r="C34" s="465" t="e">
        <f ca="1">ROUND((1+C25)*F33,4)</f>
        <v>#DIV/0!</v>
      </c>
      <c r="D34" s="465"/>
      <c r="E34" s="466"/>
      <c r="F34" s="473"/>
      <c r="G34" s="259" t="s">
        <v>2255</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1831</v>
      </c>
      <c r="B35" s="2712" t="s">
        <v>2787</v>
      </c>
      <c r="C35" s="1531" t="e">
        <f ca="1">ROUND((C18+C19+C20+C23+C24)*F33,0)</f>
        <v>#DIV/0!</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1818</v>
      </c>
      <c r="B36" s="2511"/>
      <c r="C36" s="2550" t="e">
        <f ca="1">ROUND((C6-C30-C33)/(1+D30+D33),0)</f>
        <v>#VALUE!</v>
      </c>
      <c r="D36" s="2511"/>
      <c r="E36" s="2511"/>
      <c r="F36" s="2511"/>
      <c r="G36" s="2510" t="s">
        <v>2788</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t="e">
        <f ca="1">C27</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1658</v>
      </c>
      <c r="B3" s="419"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t="e">
        <f ca="1">ROUND(B2*10000/IF(B1="",'数据-汇总表'!D3,INDIRECT("'数据-取费表'!R"&amp;$K$1)),0)</f>
        <v>#VALUE!</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t="e">
        <f ca="1">ROUND(B2/(IF(B1="",'数据-汇总表'!D3,INDIRECT("'数据-取费表'!R"&amp;$K$1))/666.67),0)</f>
        <v>#VALUE!</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2604</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1819</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1820</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1821</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2970</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2971</v>
      </c>
      <c r="B12" s="437" t="s">
        <v>2972</v>
      </c>
      <c r="C12" s="438" t="s">
        <v>2973</v>
      </c>
      <c r="D12" s="439" t="s">
        <v>2974</v>
      </c>
      <c r="E12" s="439" t="s">
        <v>2975</v>
      </c>
      <c r="F12" s="439" t="s">
        <v>2976</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2977</v>
      </c>
      <c r="B13" s="442" t="s">
        <v>2978</v>
      </c>
      <c r="C13" s="443">
        <f ca="1">IF(B1="",'数据-取费表'!M16,INDIRECT("'数据-取费表'!M"&amp;$K$1)+INDIRECT("'数据-取费表'!t"&amp;$K$1))</f>
        <v>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1823</v>
      </c>
      <c r="B14" s="442" t="s">
        <v>2979</v>
      </c>
      <c r="C14" s="53">
        <f ca="1">ROUND(C13*F14,0)</f>
        <v>0</v>
      </c>
      <c r="D14" s="444"/>
      <c r="E14" s="363"/>
      <c r="F14" s="446">
        <f>'数据-取费表'!B33</f>
        <v>0</v>
      </c>
      <c r="G14" s="437" t="s">
        <v>2980</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1824</v>
      </c>
      <c r="B15" s="442" t="s">
        <v>2981</v>
      </c>
      <c r="C15" s="53">
        <f ca="1">ROUND(IF(B1="",SUMIF('数据-取费表'!C:C,"住宅",'数据-取费表'!M:M)*F15,IF(INDIRECT("'数据-取费表'!c"&amp;$K$1)="住宅",INDIRECT("'数据-取费表'!M"&amp;$K$1)*F15,0)),0)</f>
        <v>0</v>
      </c>
      <c r="D15" s="444"/>
      <c r="E15" s="363"/>
      <c r="F15" s="446">
        <f>'数据-取费表'!B34</f>
        <v>0</v>
      </c>
      <c r="G15" s="437" t="s">
        <v>2980</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1825</v>
      </c>
      <c r="B16" s="442" t="s">
        <v>2982</v>
      </c>
      <c r="C16" s="53">
        <f ca="1">ROUND(D16*E16/10000,0)</f>
        <v>0</v>
      </c>
      <c r="D16" s="444">
        <f ca="1">IF(B1="",'数据-汇总表'!E3,INDIRECT("'数据-取费表'!K"&amp;$K$1)+INDIRECT("'数据-取费表'!S"&amp;$K$1))</f>
        <v>0</v>
      </c>
      <c r="E16" s="53">
        <f>'数据-取费表'!B35</f>
        <v>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1826</v>
      </c>
      <c r="B17" s="442" t="s">
        <v>2983</v>
      </c>
      <c r="C17" s="447">
        <f ca="1">ROUND(C13*F17,0)</f>
        <v>0</v>
      </c>
      <c r="D17" s="448"/>
      <c r="E17" s="447"/>
      <c r="F17" s="449">
        <f>'[2]数据-取费表'!B36</f>
        <v>0</v>
      </c>
      <c r="G17" s="437" t="s">
        <v>2980</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2984</v>
      </c>
      <c r="B18" s="452" t="s">
        <v>2985</v>
      </c>
      <c r="C18" s="453">
        <f ca="1">SUM(C13:C17)</f>
        <v>0</v>
      </c>
      <c r="D18" s="454"/>
      <c r="E18" s="455"/>
      <c r="F18" s="455"/>
      <c r="G18" s="1262" t="s">
        <v>2986</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1828</v>
      </c>
      <c r="B19" s="452" t="s">
        <v>2987</v>
      </c>
      <c r="C19" s="453">
        <f ca="1">ROUND(C18*F19,0)</f>
        <v>0</v>
      </c>
      <c r="D19" s="454"/>
      <c r="E19" s="455"/>
      <c r="F19" s="459">
        <f>'数据-取费表'!B37</f>
        <v>0</v>
      </c>
      <c r="G19" s="437" t="s">
        <v>2988</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1829</v>
      </c>
      <c r="B20" s="454" t="s">
        <v>2989</v>
      </c>
      <c r="C20" s="463" t="e">
        <f ca="1">ROUND(IF('数据-取费表'!B22&lt;=1,(C18+C19)*F20*'数据-取费表'!B20/2,(C18+C19)*(POWER((1+F20),'数据-取费表'!B20/2)-1)),0)</f>
        <v>#VALUE!</v>
      </c>
      <c r="D20" s="455" t="e">
        <f ca="1">ROUND(((1+F20)^'[2]数据-取费表'!B20)-1,4)</f>
        <v>#VALUE!</v>
      </c>
      <c r="E20" s="455"/>
      <c r="F20" s="464" t="e">
        <f ca="1">'数据-取费表'!B40</f>
        <v>#VALUE!</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2990</v>
      </c>
      <c r="B21" s="2711" t="s">
        <v>2991</v>
      </c>
      <c r="C21" s="471" t="e">
        <f ca="1">ROUND((C18+C19)*F21,0)</f>
        <v>#DIV/0!</v>
      </c>
      <c r="D21" s="3245"/>
      <c r="E21" s="455"/>
      <c r="F21" s="472" t="e">
        <f ca="1">IF(B1="",'数据-取费表'!Q16,INDIRECT("'数据-取费表'!q"&amp;$K$1))</f>
        <v>#DIV/0!</v>
      </c>
      <c r="G21" s="437"/>
      <c r="H21" s="440"/>
      <c r="I21" s="440"/>
      <c r="J21" s="440"/>
      <c r="K21" s="441"/>
      <c r="L21" s="3173" t="s">
        <v>2408</v>
      </c>
      <c r="M21" s="3174"/>
      <c r="N21" s="3174"/>
      <c r="O21" s="3174"/>
      <c r="P21" s="3174"/>
      <c r="Q21" s="3168"/>
      <c r="R21" s="3168"/>
      <c r="S21" s="3168"/>
      <c r="T21" s="3168"/>
      <c r="U21" s="3168"/>
      <c r="V21" s="3168"/>
      <c r="W21" s="3168"/>
      <c r="X21" s="3168"/>
      <c r="Y21" s="3168"/>
      <c r="Z21" s="3168"/>
    </row>
    <row r="22" spans="1:26" s="1974" customFormat="1" ht="13.5" customHeight="1">
      <c r="A22" s="1537" t="s">
        <v>1833</v>
      </c>
      <c r="B22" s="469" t="s">
        <v>2992</v>
      </c>
      <c r="C22" s="476"/>
      <c r="D22" s="476"/>
      <c r="E22" s="455"/>
      <c r="F22" s="3246" t="e">
        <f ca="1">IF(B1="",'数据-取费表'!N16,INDIRECT("'数据-取费表'!N"&amp;$K$1))</f>
        <v>#DIV/0!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1834</v>
      </c>
      <c r="B23" s="3248" t="s">
        <v>2993</v>
      </c>
      <c r="C23" s="3249" t="e">
        <f ca="1">ROUND((C18+C19+C20+C21)*F22,0)</f>
        <v>#VALUE!</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20" t="s">
        <v>2994</v>
      </c>
      <c r="B24" s="3621"/>
      <c r="C24" s="3253">
        <f>ROUND(C6*F24/(1+'数据-取费表'!B42),0)</f>
        <v>0</v>
      </c>
      <c r="D24" s="3254"/>
      <c r="E24" s="455"/>
      <c r="F24" s="3255">
        <f>'数据-取费表'!B41</f>
        <v>0</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20" t="s">
        <v>2995</v>
      </c>
      <c r="B25" s="3621"/>
      <c r="C25" s="3253">
        <f>ROUND(C6*F25,0)</f>
        <v>0</v>
      </c>
      <c r="D25" s="3254"/>
      <c r="E25" s="455"/>
      <c r="F25" s="3258">
        <f>'数据-取费表'!B38</f>
        <v>0</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20" t="s">
        <v>2996</v>
      </c>
      <c r="B26" s="3621"/>
      <c r="C26" s="3260"/>
      <c r="D26" s="3261"/>
      <c r="E26" s="3261"/>
      <c r="F26" s="3262">
        <f>'数据-取费表'!B48+'数据-取费表'!B49</f>
        <v>0</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22" t="s">
        <v>2997</v>
      </c>
      <c r="B27" s="3623"/>
      <c r="C27" s="3266" t="e">
        <f ca="1">(C6-C23-C24-C25)/((1+F26)*(1+D20+F21))</f>
        <v>#VALUE!</v>
      </c>
      <c r="D27" s="3267"/>
      <c r="E27" s="3267"/>
      <c r="F27" s="3267"/>
      <c r="G27" s="3268" t="s">
        <v>2998</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1869</v>
      </c>
      <c r="B36" s="1556" t="s">
        <v>1870</v>
      </c>
    </row>
    <row r="37" spans="1:9" ht="28.5" customHeight="1">
      <c r="A37" s="1556"/>
      <c r="B37" s="3447" t="str">
        <f>项目基本情况!B1</f>
        <v>出让国有建设用地使用权预评估</v>
      </c>
      <c r="C37" s="3447"/>
      <c r="D37" s="3447"/>
      <c r="E37" s="3447"/>
      <c r="F37" s="3447"/>
      <c r="G37" s="3447"/>
      <c r="H37" s="3447"/>
      <c r="I37" s="3447"/>
    </row>
    <row r="38" spans="1:9">
      <c r="A38" s="1558"/>
      <c r="B38" s="1558"/>
    </row>
    <row r="39" spans="1:9">
      <c r="A39" s="1556" t="s">
        <v>1869</v>
      </c>
      <c r="B39" s="1556" t="s">
        <v>2012</v>
      </c>
    </row>
    <row r="40" spans="1:9">
      <c r="A40" s="1556"/>
      <c r="B40" s="1556">
        <f>项目基本情况!B5</f>
        <v>0</v>
      </c>
    </row>
    <row r="41" spans="1:9">
      <c r="A41" s="1556"/>
      <c r="B41" s="1556"/>
    </row>
    <row r="42" spans="1:9">
      <c r="A42" s="1556" t="s">
        <v>1869</v>
      </c>
      <c r="B42" s="1556" t="s">
        <v>2013</v>
      </c>
    </row>
    <row r="43" spans="1:9">
      <c r="A43" s="1556"/>
      <c r="B43" s="1556" t="s">
        <v>1871</v>
      </c>
    </row>
    <row r="44" spans="1:9">
      <c r="A44" s="1556"/>
      <c r="B44" s="1556"/>
    </row>
    <row r="45" spans="1:9">
      <c r="A45" s="1556" t="s">
        <v>1869</v>
      </c>
      <c r="B45" s="1556" t="s">
        <v>2011</v>
      </c>
    </row>
    <row r="46" spans="1:9" s="1556" customFormat="1" ht="12.75">
      <c r="B46" s="1556" t="str">
        <f>项目基本情况!K4</f>
        <v>土地估价师、土地估价师</v>
      </c>
    </row>
    <row r="47" spans="1:9">
      <c r="A47" s="1556"/>
      <c r="B47" s="1556"/>
    </row>
    <row r="48" spans="1:9">
      <c r="A48" s="1556" t="s">
        <v>1869</v>
      </c>
      <c r="B48" s="1556" t="s">
        <v>2014</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1658</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633" t="s">
        <v>500</v>
      </c>
      <c r="D6" s="3634"/>
      <c r="E6" s="3633" t="s">
        <v>501</v>
      </c>
      <c r="F6" s="3634"/>
      <c r="G6" s="3633" t="s">
        <v>502</v>
      </c>
      <c r="H6" s="3634"/>
      <c r="I6" s="3633" t="s">
        <v>503</v>
      </c>
      <c r="J6" s="3634"/>
      <c r="K6" s="490" t="s">
        <v>504</v>
      </c>
      <c r="L6" s="1986"/>
      <c r="M6" s="1985"/>
      <c r="N6" s="1985"/>
      <c r="O6" s="1987"/>
      <c r="P6" s="3635" t="s">
        <v>505</v>
      </c>
      <c r="Q6" s="3636"/>
      <c r="R6" s="3641" t="s">
        <v>501</v>
      </c>
      <c r="S6" s="3642"/>
      <c r="T6" s="3641" t="s">
        <v>502</v>
      </c>
      <c r="U6" s="3642"/>
      <c r="V6" s="3628" t="s">
        <v>503</v>
      </c>
      <c r="W6" s="3628"/>
      <c r="X6" s="1476"/>
      <c r="Y6" s="3641" t="s">
        <v>505</v>
      </c>
      <c r="Z6" s="3642"/>
      <c r="AA6" s="3630" t="s">
        <v>501</v>
      </c>
      <c r="AB6" s="3631" t="s">
        <v>502</v>
      </c>
      <c r="AC6" s="3630" t="s">
        <v>503</v>
      </c>
    </row>
    <row r="7" spans="1:30" ht="20.25">
      <c r="A7" s="491"/>
      <c r="B7" s="492"/>
      <c r="C7" s="3649" t="s">
        <v>2866</v>
      </c>
      <c r="D7" s="3650"/>
      <c r="E7" s="3649" t="s">
        <v>2867</v>
      </c>
      <c r="F7" s="3650"/>
      <c r="G7" s="3649" t="s">
        <v>2868</v>
      </c>
      <c r="H7" s="3650"/>
      <c r="I7" s="3649" t="s">
        <v>2869</v>
      </c>
      <c r="J7" s="3650"/>
      <c r="K7" s="490"/>
      <c r="L7" s="1986"/>
      <c r="M7" s="1985"/>
      <c r="N7" s="1985"/>
      <c r="O7" s="1987"/>
      <c r="P7" s="3637"/>
      <c r="Q7" s="3638"/>
      <c r="R7" s="3643"/>
      <c r="S7" s="3644"/>
      <c r="T7" s="3643"/>
      <c r="U7" s="3644"/>
      <c r="V7" s="3628"/>
      <c r="W7" s="3628"/>
      <c r="X7" s="1476"/>
      <c r="Y7" s="3643"/>
      <c r="Z7" s="3644"/>
      <c r="AA7" s="3631"/>
      <c r="AB7" s="3631"/>
      <c r="AC7" s="3631"/>
    </row>
    <row r="8" spans="1:30" ht="21" thickBot="1">
      <c r="A8" s="491"/>
      <c r="B8" s="492"/>
      <c r="C8" s="3651" t="s">
        <v>2870</v>
      </c>
      <c r="D8" s="3652"/>
      <c r="E8" s="3651" t="s">
        <v>2870</v>
      </c>
      <c r="F8" s="3652"/>
      <c r="G8" s="3647" t="s">
        <v>2870</v>
      </c>
      <c r="H8" s="3648"/>
      <c r="I8" s="3647" t="s">
        <v>2870</v>
      </c>
      <c r="J8" s="3648"/>
      <c r="K8" s="490" t="s">
        <v>506</v>
      </c>
      <c r="L8" s="1986"/>
      <c r="M8" s="1985"/>
      <c r="N8" s="1985"/>
      <c r="O8" s="1987"/>
      <c r="P8" s="3639"/>
      <c r="Q8" s="3640"/>
      <c r="R8" s="3643"/>
      <c r="S8" s="3644"/>
      <c r="T8" s="3645"/>
      <c r="U8" s="3646"/>
      <c r="V8" s="3628"/>
      <c r="W8" s="3628"/>
      <c r="X8" s="1476"/>
      <c r="Y8" s="3645"/>
      <c r="Z8" s="3646"/>
      <c r="AA8" s="3632"/>
      <c r="AB8" s="3632"/>
      <c r="AC8" s="3632"/>
    </row>
    <row r="9" spans="1:30" s="1185" customFormat="1" ht="21" thickBot="1">
      <c r="A9" s="2597"/>
      <c r="B9" s="2604" t="s">
        <v>507</v>
      </c>
      <c r="C9" s="2596">
        <f>'数据-取费表'!B2</f>
        <v>44622</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58" t="s">
        <v>508</v>
      </c>
      <c r="Q9" s="3660"/>
      <c r="R9" s="1477" t="s">
        <v>8</v>
      </c>
      <c r="S9" s="1478">
        <f t="shared" ref="S9:S17" si="0">F9</f>
        <v>0</v>
      </c>
      <c r="T9" s="1477" t="s">
        <v>8</v>
      </c>
      <c r="U9" s="1478">
        <f t="shared" ref="U9:U17" si="1">H9</f>
        <v>0</v>
      </c>
      <c r="V9" s="1477" t="s">
        <v>8</v>
      </c>
      <c r="W9" s="1478">
        <f t="shared" ref="W9:W17" si="2">J9</f>
        <v>0</v>
      </c>
      <c r="X9" s="1479"/>
      <c r="Y9" s="3658" t="s">
        <v>508</v>
      </c>
      <c r="Z9" s="3659"/>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58" t="s">
        <v>511</v>
      </c>
      <c r="Q10" s="3659"/>
      <c r="R10" s="1477" t="s">
        <v>8</v>
      </c>
      <c r="S10" s="1478">
        <f t="shared" si="0"/>
        <v>0</v>
      </c>
      <c r="T10" s="1477" t="s">
        <v>8</v>
      </c>
      <c r="U10" s="1478">
        <f t="shared" si="1"/>
        <v>0</v>
      </c>
      <c r="V10" s="1477" t="s">
        <v>8</v>
      </c>
      <c r="W10" s="1478">
        <f t="shared" si="2"/>
        <v>0</v>
      </c>
      <c r="X10" s="1479"/>
      <c r="Y10" s="3658" t="s">
        <v>511</v>
      </c>
      <c r="Z10" s="3659"/>
      <c r="AA10" s="1480" t="e">
        <f t="shared" ref="AA10:AA47" si="3">D10/F10</f>
        <v>#DIV/0!</v>
      </c>
      <c r="AB10" s="1480" t="e">
        <f t="shared" ref="AB10:AB47" si="4">D10/H10</f>
        <v>#DIV/0!</v>
      </c>
      <c r="AC10" s="1480" t="e">
        <f t="shared" ref="AC10:AC47" si="5">D10/J10</f>
        <v>#DIV/0!</v>
      </c>
    </row>
    <row r="11" spans="1:30" s="1185" customFormat="1" ht="20.25">
      <c r="A11" s="2599"/>
      <c r="B11" s="2606" t="s">
        <v>2708</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27" t="s">
        <v>513</v>
      </c>
      <c r="Q11" s="1116" t="str">
        <f t="shared" ref="Q11:Q17" si="6">B11</f>
        <v>用途</v>
      </c>
      <c r="R11" s="1477" t="s">
        <v>8</v>
      </c>
      <c r="S11" s="1478">
        <f t="shared" si="0"/>
        <v>100</v>
      </c>
      <c r="T11" s="1477" t="s">
        <v>8</v>
      </c>
      <c r="U11" s="1478">
        <f t="shared" si="1"/>
        <v>100</v>
      </c>
      <c r="V11" s="1477" t="s">
        <v>8</v>
      </c>
      <c r="W11" s="1478">
        <f t="shared" si="2"/>
        <v>100</v>
      </c>
      <c r="X11" s="1479"/>
      <c r="Y11" s="3569" t="s">
        <v>514</v>
      </c>
      <c r="Z11" s="1115" t="str">
        <f t="shared" ref="Z11:Z17" si="7">Q11</f>
        <v>用途</v>
      </c>
      <c r="AA11" s="1480">
        <f t="shared" si="3"/>
        <v>1</v>
      </c>
      <c r="AB11" s="1480">
        <f t="shared" si="4"/>
        <v>1</v>
      </c>
      <c r="AC11" s="1480">
        <f t="shared" si="5"/>
        <v>1</v>
      </c>
    </row>
    <row r="12" spans="1:30" s="1266" customFormat="1" ht="27">
      <c r="A12" s="2600"/>
      <c r="B12" s="2605" t="s">
        <v>2709</v>
      </c>
      <c r="C12" s="881"/>
      <c r="D12" s="253">
        <v>100</v>
      </c>
      <c r="E12" s="505"/>
      <c r="F12" s="253" t="e">
        <f>ROUND(100/'数据-取费表'!G16,0)</f>
        <v>#DIV/0!</v>
      </c>
      <c r="G12" s="506"/>
      <c r="H12" s="253" t="e">
        <f>ROUND(100/'数据-取费表'!G16,0)</f>
        <v>#DIV/0!</v>
      </c>
      <c r="I12" s="506"/>
      <c r="J12" s="253" t="e">
        <f>ROUND(100/'数据-取费表'!G16,0)</f>
        <v>#DIV/0!</v>
      </c>
      <c r="K12" s="507"/>
      <c r="L12" s="1991"/>
      <c r="M12" s="1985"/>
      <c r="N12" s="1985"/>
      <c r="O12" s="1992"/>
      <c r="P12" s="3627"/>
      <c r="Q12" s="1116" t="str">
        <f t="shared" si="6"/>
        <v>土地使用年限（年）</v>
      </c>
      <c r="R12" s="1477" t="s">
        <v>8</v>
      </c>
      <c r="S12" s="1478" t="e">
        <f t="shared" si="0"/>
        <v>#DIV/0!</v>
      </c>
      <c r="T12" s="1477" t="s">
        <v>8</v>
      </c>
      <c r="U12" s="1478" t="e">
        <f t="shared" si="1"/>
        <v>#DIV/0!</v>
      </c>
      <c r="V12" s="1477" t="s">
        <v>8</v>
      </c>
      <c r="W12" s="1478" t="e">
        <f t="shared" si="2"/>
        <v>#DIV/0!</v>
      </c>
      <c r="X12" s="1479"/>
      <c r="Y12" s="3569"/>
      <c r="Z12" s="1115" t="str">
        <f t="shared" si="7"/>
        <v>土地使用年限（年）</v>
      </c>
      <c r="AA12" s="1480" t="e">
        <f t="shared" si="3"/>
        <v>#DIV/0!</v>
      </c>
      <c r="AB12" s="1480" t="e">
        <f t="shared" si="4"/>
        <v>#DIV/0!</v>
      </c>
      <c r="AC12" s="1480" t="e">
        <f t="shared" si="5"/>
        <v>#DIV/0!</v>
      </c>
    </row>
    <row r="13" spans="1:30" ht="20.25">
      <c r="A13" s="2601"/>
      <c r="B13" s="2605" t="s">
        <v>2710</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27"/>
      <c r="Q13" s="1116" t="str">
        <f t="shared" si="6"/>
        <v>容积率</v>
      </c>
      <c r="R13" s="1477" t="s">
        <v>8</v>
      </c>
      <c r="S13" s="1478" t="e">
        <f t="shared" si="0"/>
        <v>#N/A</v>
      </c>
      <c r="T13" s="1477" t="s">
        <v>8</v>
      </c>
      <c r="U13" s="1478" t="e">
        <f t="shared" si="1"/>
        <v>#N/A</v>
      </c>
      <c r="V13" s="1477" t="s">
        <v>8</v>
      </c>
      <c r="W13" s="1478" t="e">
        <f t="shared" si="2"/>
        <v>#N/A</v>
      </c>
      <c r="X13" s="1479"/>
      <c r="Y13" s="3569"/>
      <c r="Z13" s="1115" t="str">
        <f t="shared" si="7"/>
        <v>容积率</v>
      </c>
      <c r="AA13" s="1480" t="e">
        <f t="shared" si="3"/>
        <v>#N/A</v>
      </c>
      <c r="AB13" s="1480" t="e">
        <f t="shared" si="4"/>
        <v>#N/A</v>
      </c>
      <c r="AC13" s="1480" t="e">
        <f t="shared" si="5"/>
        <v>#N/A</v>
      </c>
    </row>
    <row r="14" spans="1:30" s="1185" customFormat="1" ht="20.25">
      <c r="A14" s="2598"/>
      <c r="B14" s="2607" t="s">
        <v>2711</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27"/>
      <c r="Q14" s="1116" t="str">
        <f t="shared" si="6"/>
        <v>配建</v>
      </c>
      <c r="R14" s="1477" t="s">
        <v>8</v>
      </c>
      <c r="S14" s="1478">
        <f t="shared" si="0"/>
        <v>100</v>
      </c>
      <c r="T14" s="1477" t="s">
        <v>8</v>
      </c>
      <c r="U14" s="1478">
        <f t="shared" si="1"/>
        <v>100</v>
      </c>
      <c r="V14" s="1477" t="s">
        <v>8</v>
      </c>
      <c r="W14" s="1478">
        <f t="shared" si="2"/>
        <v>100</v>
      </c>
      <c r="X14" s="1479"/>
      <c r="Y14" s="3569"/>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27"/>
      <c r="Q15" s="1116">
        <f t="shared" si="6"/>
        <v>111</v>
      </c>
      <c r="R15" s="1477" t="s">
        <v>8</v>
      </c>
      <c r="S15" s="1478">
        <f t="shared" si="0"/>
        <v>100</v>
      </c>
      <c r="T15" s="1477" t="s">
        <v>8</v>
      </c>
      <c r="U15" s="1478">
        <f t="shared" si="1"/>
        <v>100</v>
      </c>
      <c r="V15" s="1477" t="s">
        <v>8</v>
      </c>
      <c r="W15" s="1478">
        <f t="shared" si="2"/>
        <v>100</v>
      </c>
      <c r="X15" s="1479"/>
      <c r="Y15" s="3569"/>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27"/>
      <c r="Q16" s="1116">
        <f t="shared" si="6"/>
        <v>111</v>
      </c>
      <c r="R16" s="1477" t="s">
        <v>8</v>
      </c>
      <c r="S16" s="1478">
        <f t="shared" si="0"/>
        <v>100</v>
      </c>
      <c r="T16" s="1477" t="s">
        <v>8</v>
      </c>
      <c r="U16" s="1478">
        <f t="shared" si="1"/>
        <v>100</v>
      </c>
      <c r="V16" s="1477" t="s">
        <v>8</v>
      </c>
      <c r="W16" s="1478">
        <f t="shared" si="2"/>
        <v>100</v>
      </c>
      <c r="X16" s="1479"/>
      <c r="Y16" s="3569"/>
      <c r="Z16" s="1115">
        <f t="shared" si="7"/>
        <v>111</v>
      </c>
      <c r="AA16" s="1480">
        <f>D16/F16</f>
        <v>1</v>
      </c>
      <c r="AB16" s="1480">
        <f>D16/H16</f>
        <v>1</v>
      </c>
      <c r="AC16" s="1480">
        <f>D16/J16</f>
        <v>1</v>
      </c>
    </row>
    <row r="17" spans="1:29" ht="99.75">
      <c r="A17" s="2595" t="s">
        <v>2706</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61" t="s">
        <v>518</v>
      </c>
      <c r="Q17" s="1481" t="str">
        <f t="shared" si="6"/>
        <v>居住社区成熟度</v>
      </c>
      <c r="R17" s="1482" t="s">
        <v>8</v>
      </c>
      <c r="S17" s="1483">
        <f t="shared" si="0"/>
        <v>100</v>
      </c>
      <c r="T17" s="1482" t="s">
        <v>8</v>
      </c>
      <c r="U17" s="1483">
        <f t="shared" si="1"/>
        <v>100</v>
      </c>
      <c r="V17" s="1482" t="s">
        <v>8</v>
      </c>
      <c r="W17" s="1483">
        <f t="shared" si="2"/>
        <v>100</v>
      </c>
      <c r="X17" s="1476"/>
      <c r="Y17" s="3661"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662"/>
      <c r="Q18" s="1481"/>
      <c r="R18" s="1482"/>
      <c r="S18" s="1483"/>
      <c r="T18" s="1482"/>
      <c r="U18" s="1483"/>
      <c r="V18" s="1482"/>
      <c r="W18" s="1483"/>
      <c r="X18" s="1476"/>
      <c r="Y18" s="3662"/>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62"/>
      <c r="Q19" s="1481" t="str">
        <f>B19</f>
        <v>商业繁华度</v>
      </c>
      <c r="R19" s="1482" t="s">
        <v>8</v>
      </c>
      <c r="S19" s="1483">
        <f>F19</f>
        <v>100</v>
      </c>
      <c r="T19" s="1482" t="s">
        <v>8</v>
      </c>
      <c r="U19" s="1483">
        <f>H19</f>
        <v>100</v>
      </c>
      <c r="V19" s="1482" t="s">
        <v>8</v>
      </c>
      <c r="W19" s="1483">
        <f>J19</f>
        <v>100</v>
      </c>
      <c r="X19" s="1476"/>
      <c r="Y19" s="3662"/>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662"/>
      <c r="Q20" s="1481"/>
      <c r="R20" s="1482"/>
      <c r="S20" s="1483"/>
      <c r="T20" s="1482"/>
      <c r="U20" s="1483"/>
      <c r="V20" s="1482"/>
      <c r="W20" s="1483"/>
      <c r="X20" s="1476"/>
      <c r="Y20" s="3662"/>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62"/>
      <c r="Q21" s="1481" t="str">
        <f>B21</f>
        <v>办公集聚程度</v>
      </c>
      <c r="R21" s="1482" t="s">
        <v>8</v>
      </c>
      <c r="S21" s="1483">
        <f>F21</f>
        <v>100</v>
      </c>
      <c r="T21" s="1482" t="s">
        <v>8</v>
      </c>
      <c r="U21" s="1483">
        <f>H21</f>
        <v>100</v>
      </c>
      <c r="V21" s="1482" t="s">
        <v>8</v>
      </c>
      <c r="W21" s="1483">
        <f>J21</f>
        <v>100</v>
      </c>
      <c r="X21" s="1476"/>
      <c r="Y21" s="3662"/>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662"/>
      <c r="Q22" s="1481"/>
      <c r="R22" s="1482"/>
      <c r="S22" s="1483"/>
      <c r="T22" s="1482"/>
      <c r="U22" s="1483"/>
      <c r="V22" s="1482"/>
      <c r="W22" s="1483"/>
      <c r="X22" s="1476"/>
      <c r="Y22" s="3662"/>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62"/>
      <c r="Q23" s="1481" t="str">
        <f>B23</f>
        <v>交通便捷度</v>
      </c>
      <c r="R23" s="1482" t="s">
        <v>8</v>
      </c>
      <c r="S23" s="1483">
        <f>F23</f>
        <v>100</v>
      </c>
      <c r="T23" s="1482" t="s">
        <v>8</v>
      </c>
      <c r="U23" s="1483">
        <f>H23</f>
        <v>100</v>
      </c>
      <c r="V23" s="1482" t="s">
        <v>8</v>
      </c>
      <c r="W23" s="1483">
        <f>J23</f>
        <v>100</v>
      </c>
      <c r="X23" s="1476"/>
      <c r="Y23" s="3662"/>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662"/>
      <c r="Q24" s="1481"/>
      <c r="R24" s="1482"/>
      <c r="S24" s="1483"/>
      <c r="T24" s="1482"/>
      <c r="U24" s="1483"/>
      <c r="V24" s="1482"/>
      <c r="W24" s="1483"/>
      <c r="X24" s="1476"/>
      <c r="Y24" s="3662"/>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62"/>
      <c r="Q25" s="1481" t="str">
        <f t="shared" ref="Q25:Q39" si="8">B25</f>
        <v>区域土地利用方向</v>
      </c>
      <c r="R25" s="1482" t="s">
        <v>8</v>
      </c>
      <c r="S25" s="1483">
        <f>F25</f>
        <v>100</v>
      </c>
      <c r="T25" s="1482" t="s">
        <v>8</v>
      </c>
      <c r="U25" s="1483">
        <f>H25</f>
        <v>100</v>
      </c>
      <c r="V25" s="1482" t="s">
        <v>8</v>
      </c>
      <c r="W25" s="1483">
        <f>J25</f>
        <v>100</v>
      </c>
      <c r="X25" s="1476"/>
      <c r="Y25" s="3662"/>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662"/>
      <c r="Q26" s="1481"/>
      <c r="R26" s="1482"/>
      <c r="S26" s="1483"/>
      <c r="T26" s="1482"/>
      <c r="U26" s="1483"/>
      <c r="V26" s="1482"/>
      <c r="W26" s="1483"/>
      <c r="X26" s="1476"/>
      <c r="Y26" s="3662"/>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62"/>
      <c r="Q27" s="1481" t="str">
        <f t="shared" si="8"/>
        <v>自然及人文环境状况</v>
      </c>
      <c r="R27" s="1482" t="s">
        <v>8</v>
      </c>
      <c r="S27" s="1483">
        <f>F27</f>
        <v>100</v>
      </c>
      <c r="T27" s="1482" t="s">
        <v>8</v>
      </c>
      <c r="U27" s="1483">
        <f>H27</f>
        <v>100</v>
      </c>
      <c r="V27" s="1482" t="s">
        <v>8</v>
      </c>
      <c r="W27" s="1483">
        <f>J27</f>
        <v>100</v>
      </c>
      <c r="X27" s="1476"/>
      <c r="Y27" s="3662"/>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662"/>
      <c r="Q28" s="1481"/>
      <c r="R28" s="1482"/>
      <c r="S28" s="1483"/>
      <c r="T28" s="1482"/>
      <c r="U28" s="1483"/>
      <c r="V28" s="1482"/>
      <c r="W28" s="1483"/>
      <c r="X28" s="1476"/>
      <c r="Y28" s="3662"/>
      <c r="Z28" s="1484"/>
      <c r="AA28" s="1485">
        <v>1</v>
      </c>
      <c r="AB28" s="1485">
        <v>1</v>
      </c>
      <c r="AC28" s="1485">
        <v>1</v>
      </c>
    </row>
    <row r="29" spans="1:29" s="1185" customFormat="1" ht="42.75">
      <c r="A29" s="553"/>
      <c r="B29" s="2403" t="s">
        <v>2501</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62"/>
      <c r="Q29" s="1116" t="str">
        <f t="shared" si="8"/>
        <v>公共配套设施</v>
      </c>
      <c r="R29" s="1477" t="s">
        <v>8</v>
      </c>
      <c r="S29" s="1478">
        <f>F29</f>
        <v>100</v>
      </c>
      <c r="T29" s="1477" t="s">
        <v>8</v>
      </c>
      <c r="U29" s="1478">
        <f>H29</f>
        <v>100</v>
      </c>
      <c r="V29" s="1477" t="s">
        <v>8</v>
      </c>
      <c r="W29" s="1478">
        <f>J29</f>
        <v>100</v>
      </c>
      <c r="X29" s="1479"/>
      <c r="Y29" s="3662"/>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662"/>
      <c r="Q30" s="1116"/>
      <c r="R30" s="1477"/>
      <c r="S30" s="1478"/>
      <c r="T30" s="1477"/>
      <c r="U30" s="1478"/>
      <c r="V30" s="1477"/>
      <c r="W30" s="1478"/>
      <c r="X30" s="1479"/>
      <c r="Y30" s="3662"/>
      <c r="Z30" s="1115"/>
      <c r="AA30" s="1485">
        <v>1</v>
      </c>
      <c r="AB30" s="1485">
        <v>1</v>
      </c>
      <c r="AC30" s="1485">
        <v>1</v>
      </c>
    </row>
    <row r="31" spans="1:29" s="1185" customFormat="1" ht="28.5">
      <c r="A31" s="553"/>
      <c r="B31" s="2403" t="s">
        <v>2502</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62"/>
      <c r="Q31" s="2396" t="str">
        <f t="shared" ref="Q31" si="9">B31</f>
        <v>基础设施水平</v>
      </c>
      <c r="R31" s="1477" t="s">
        <v>8</v>
      </c>
      <c r="S31" s="1478">
        <f>F31</f>
        <v>100</v>
      </c>
      <c r="T31" s="1477" t="s">
        <v>8</v>
      </c>
      <c r="U31" s="1478">
        <f>H31</f>
        <v>100</v>
      </c>
      <c r="V31" s="1477" t="s">
        <v>8</v>
      </c>
      <c r="W31" s="1478">
        <f>J31</f>
        <v>100</v>
      </c>
      <c r="X31" s="1479"/>
      <c r="Y31" s="3662"/>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662"/>
      <c r="Q32" s="2396"/>
      <c r="R32" s="1477"/>
      <c r="S32" s="1478"/>
      <c r="T32" s="1477"/>
      <c r="U32" s="1478"/>
      <c r="V32" s="1477"/>
      <c r="W32" s="1478"/>
      <c r="X32" s="1479"/>
      <c r="Y32" s="3662"/>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62"/>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62"/>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62"/>
      <c r="Q34" s="1481" t="str">
        <f t="shared" si="8"/>
        <v>毗邻道路的类型与等级</v>
      </c>
      <c r="R34" s="1482" t="s">
        <v>8</v>
      </c>
      <c r="S34" s="1483">
        <f t="shared" si="10"/>
        <v>100</v>
      </c>
      <c r="T34" s="1482" t="s">
        <v>8</v>
      </c>
      <c r="U34" s="1483">
        <f t="shared" si="11"/>
        <v>100</v>
      </c>
      <c r="V34" s="1482" t="s">
        <v>8</v>
      </c>
      <c r="W34" s="1483">
        <f t="shared" si="12"/>
        <v>100</v>
      </c>
      <c r="X34" s="1476"/>
      <c r="Y34" s="3662"/>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662"/>
      <c r="Q35" s="1481"/>
      <c r="R35" s="1482"/>
      <c r="S35" s="1483"/>
      <c r="T35" s="1482"/>
      <c r="U35" s="1483"/>
      <c r="V35" s="1482"/>
      <c r="W35" s="1483"/>
      <c r="X35" s="1476"/>
      <c r="Y35" s="3662"/>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62"/>
      <c r="Q36" s="1481" t="str">
        <f t="shared" si="8"/>
        <v>土地级别</v>
      </c>
      <c r="R36" s="1482" t="s">
        <v>8</v>
      </c>
      <c r="S36" s="1483">
        <f t="shared" si="10"/>
        <v>100</v>
      </c>
      <c r="T36" s="1482" t="s">
        <v>8</v>
      </c>
      <c r="U36" s="1483">
        <f t="shared" si="11"/>
        <v>100</v>
      </c>
      <c r="V36" s="1482" t="s">
        <v>8</v>
      </c>
      <c r="W36" s="1483">
        <f t="shared" si="12"/>
        <v>100</v>
      </c>
      <c r="X36" s="1476"/>
      <c r="Y36" s="3662"/>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62"/>
      <c r="Q37" s="1481">
        <f t="shared" si="8"/>
        <v>111</v>
      </c>
      <c r="R37" s="1482" t="s">
        <v>8</v>
      </c>
      <c r="S37" s="1483">
        <f t="shared" si="10"/>
        <v>100</v>
      </c>
      <c r="T37" s="1482" t="s">
        <v>8</v>
      </c>
      <c r="U37" s="1483">
        <f t="shared" si="11"/>
        <v>100</v>
      </c>
      <c r="V37" s="1482" t="s">
        <v>8</v>
      </c>
      <c r="W37" s="1483">
        <f t="shared" si="12"/>
        <v>100</v>
      </c>
      <c r="X37" s="1476"/>
      <c r="Y37" s="3662"/>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63" t="s">
        <v>528</v>
      </c>
      <c r="Q38" s="1481">
        <f t="shared" si="8"/>
        <v>111</v>
      </c>
      <c r="R38" s="1482" t="s">
        <v>8</v>
      </c>
      <c r="S38" s="1483">
        <f t="shared" si="10"/>
        <v>100</v>
      </c>
      <c r="T38" s="1482" t="s">
        <v>8</v>
      </c>
      <c r="U38" s="1483">
        <f t="shared" si="11"/>
        <v>100</v>
      </c>
      <c r="V38" s="1482" t="s">
        <v>8</v>
      </c>
      <c r="W38" s="1483">
        <f t="shared" si="12"/>
        <v>100</v>
      </c>
      <c r="X38" s="1476"/>
      <c r="Y38" s="3664"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64"/>
      <c r="Q39" s="1481">
        <f t="shared" si="8"/>
        <v>111</v>
      </c>
      <c r="R39" s="1486" t="s">
        <v>8</v>
      </c>
      <c r="S39" s="1487">
        <f t="shared" si="10"/>
        <v>100</v>
      </c>
      <c r="T39" s="1486" t="s">
        <v>8</v>
      </c>
      <c r="U39" s="1487">
        <f t="shared" si="11"/>
        <v>100</v>
      </c>
      <c r="V39" s="1486" t="s">
        <v>8</v>
      </c>
      <c r="W39" s="1487">
        <f t="shared" si="12"/>
        <v>100</v>
      </c>
      <c r="X39" s="1488"/>
      <c r="Y39" s="3664"/>
      <c r="Z39" s="1489">
        <f t="shared" si="13"/>
        <v>111</v>
      </c>
      <c r="AA39" s="1485">
        <f t="shared" si="3"/>
        <v>1</v>
      </c>
      <c r="AB39" s="1485">
        <f t="shared" si="4"/>
        <v>1</v>
      </c>
      <c r="AC39" s="1485">
        <f t="shared" si="5"/>
        <v>1</v>
      </c>
    </row>
    <row r="40" spans="1:29" ht="20.25">
      <c r="A40" s="2592" t="s">
        <v>2707</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64"/>
      <c r="Q40" s="1481" t="str">
        <f>B40</f>
        <v>宗地面积</v>
      </c>
      <c r="R40" s="1482" t="s">
        <v>8</v>
      </c>
      <c r="S40" s="1483" t="e">
        <f t="shared" si="10"/>
        <v>#N/A</v>
      </c>
      <c r="T40" s="1482" t="s">
        <v>8</v>
      </c>
      <c r="U40" s="1483" t="e">
        <f t="shared" si="11"/>
        <v>#N/A</v>
      </c>
      <c r="V40" s="1482" t="s">
        <v>8</v>
      </c>
      <c r="W40" s="1483" t="e">
        <f t="shared" si="12"/>
        <v>#N/A</v>
      </c>
      <c r="X40" s="1476"/>
      <c r="Y40" s="3664"/>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64"/>
      <c r="Q41" s="1481" t="str">
        <f t="shared" ref="Q41:Q47" si="14">B41</f>
        <v>宗地形状</v>
      </c>
      <c r="R41" s="1482" t="s">
        <v>8</v>
      </c>
      <c r="S41" s="1483">
        <f t="shared" si="10"/>
        <v>100</v>
      </c>
      <c r="T41" s="1482" t="s">
        <v>8</v>
      </c>
      <c r="U41" s="1483">
        <f t="shared" si="11"/>
        <v>100</v>
      </c>
      <c r="V41" s="1482" t="s">
        <v>8</v>
      </c>
      <c r="W41" s="1483">
        <f t="shared" si="12"/>
        <v>100</v>
      </c>
      <c r="X41" s="1476"/>
      <c r="Y41" s="3664"/>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64"/>
      <c r="Q42" s="1481" t="str">
        <f t="shared" si="14"/>
        <v>临街宽度及深度</v>
      </c>
      <c r="R42" s="1482" t="s">
        <v>8</v>
      </c>
      <c r="S42" s="1483">
        <f t="shared" si="10"/>
        <v>100</v>
      </c>
      <c r="T42" s="1482" t="s">
        <v>8</v>
      </c>
      <c r="U42" s="1483">
        <f t="shared" si="11"/>
        <v>100</v>
      </c>
      <c r="V42" s="1482" t="s">
        <v>8</v>
      </c>
      <c r="W42" s="1483">
        <f t="shared" si="12"/>
        <v>100</v>
      </c>
      <c r="X42" s="1476"/>
      <c r="Y42" s="3664"/>
      <c r="Z42" s="1484" t="str">
        <f t="shared" si="13"/>
        <v>临街宽度及深度</v>
      </c>
      <c r="AA42" s="1485">
        <f t="shared" si="3"/>
        <v>1</v>
      </c>
      <c r="AB42" s="1485">
        <f t="shared" si="4"/>
        <v>1</v>
      </c>
      <c r="AC42" s="1485">
        <f t="shared" si="5"/>
        <v>1</v>
      </c>
    </row>
    <row r="43" spans="1:29" s="1185" customFormat="1" ht="20.25">
      <c r="A43" s="576"/>
      <c r="B43" s="1782" t="s">
        <v>2385</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64"/>
      <c r="Q43" s="1481" t="str">
        <f t="shared" si="14"/>
        <v>宗地开发程度</v>
      </c>
      <c r="R43" s="1477" t="s">
        <v>8</v>
      </c>
      <c r="S43" s="1478">
        <f t="shared" si="10"/>
        <v>100</v>
      </c>
      <c r="T43" s="1477" t="s">
        <v>8</v>
      </c>
      <c r="U43" s="1478">
        <f t="shared" si="11"/>
        <v>100</v>
      </c>
      <c r="V43" s="1477" t="s">
        <v>8</v>
      </c>
      <c r="W43" s="1478">
        <f t="shared" si="12"/>
        <v>100</v>
      </c>
      <c r="X43" s="1479"/>
      <c r="Y43" s="3664"/>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64" t="s">
        <v>528</v>
      </c>
      <c r="Q44" s="1481" t="str">
        <f t="shared" si="14"/>
        <v>工程地质条件</v>
      </c>
      <c r="R44" s="1482" t="s">
        <v>8</v>
      </c>
      <c r="S44" s="1483">
        <f t="shared" si="10"/>
        <v>100</v>
      </c>
      <c r="T44" s="1482" t="s">
        <v>8</v>
      </c>
      <c r="U44" s="1483">
        <f t="shared" si="11"/>
        <v>100</v>
      </c>
      <c r="V44" s="1482" t="s">
        <v>8</v>
      </c>
      <c r="W44" s="1483">
        <f t="shared" si="12"/>
        <v>100</v>
      </c>
      <c r="X44" s="1476"/>
      <c r="Y44" s="3664"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64"/>
      <c r="Q45" s="1481">
        <f t="shared" si="14"/>
        <v>111</v>
      </c>
      <c r="R45" s="1482" t="s">
        <v>8</v>
      </c>
      <c r="S45" s="1483">
        <f t="shared" si="10"/>
        <v>100</v>
      </c>
      <c r="T45" s="1482" t="s">
        <v>8</v>
      </c>
      <c r="U45" s="1483">
        <f t="shared" si="11"/>
        <v>100</v>
      </c>
      <c r="V45" s="1482" t="s">
        <v>8</v>
      </c>
      <c r="W45" s="1483">
        <f t="shared" si="12"/>
        <v>100</v>
      </c>
      <c r="X45" s="1476"/>
      <c r="Y45" s="3664"/>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64"/>
      <c r="Q46" s="1481">
        <f t="shared" si="14"/>
        <v>111</v>
      </c>
      <c r="R46" s="1482" t="s">
        <v>8</v>
      </c>
      <c r="S46" s="1483">
        <f t="shared" si="10"/>
        <v>100</v>
      </c>
      <c r="T46" s="1482" t="s">
        <v>8</v>
      </c>
      <c r="U46" s="1483">
        <f t="shared" si="11"/>
        <v>100</v>
      </c>
      <c r="V46" s="1482" t="s">
        <v>8</v>
      </c>
      <c r="W46" s="1483">
        <f t="shared" si="12"/>
        <v>100</v>
      </c>
      <c r="X46" s="1476"/>
      <c r="Y46" s="3664"/>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64"/>
      <c r="Q47" s="1481">
        <f t="shared" si="14"/>
        <v>111</v>
      </c>
      <c r="R47" s="1486" t="s">
        <v>8</v>
      </c>
      <c r="S47" s="1487">
        <f t="shared" si="10"/>
        <v>100</v>
      </c>
      <c r="T47" s="1486" t="s">
        <v>8</v>
      </c>
      <c r="U47" s="1487">
        <f t="shared" si="11"/>
        <v>100</v>
      </c>
      <c r="V47" s="1486" t="s">
        <v>8</v>
      </c>
      <c r="W47" s="1487">
        <f t="shared" si="12"/>
        <v>100</v>
      </c>
      <c r="X47" s="1488"/>
      <c r="Y47" s="3664"/>
      <c r="Z47" s="1489">
        <f t="shared" si="13"/>
        <v>111</v>
      </c>
      <c r="AA47" s="1485">
        <f t="shared" si="3"/>
        <v>1</v>
      </c>
      <c r="AB47" s="1485">
        <f t="shared" si="4"/>
        <v>1</v>
      </c>
      <c r="AC47" s="1485">
        <f t="shared" si="5"/>
        <v>1</v>
      </c>
    </row>
    <row r="48" spans="1:29" ht="20.25">
      <c r="A48" s="583" t="s">
        <v>534</v>
      </c>
      <c r="B48" s="584" t="s">
        <v>2871</v>
      </c>
      <c r="C48" s="585" t="s">
        <v>1</v>
      </c>
      <c r="D48" s="586"/>
      <c r="E48" s="587"/>
      <c r="F48" s="588"/>
      <c r="G48" s="589"/>
      <c r="H48" s="590"/>
      <c r="I48" s="587"/>
      <c r="J48" s="590"/>
      <c r="K48" s="1268"/>
      <c r="L48" s="1997"/>
      <c r="M48" s="1985"/>
      <c r="N48" s="1985"/>
      <c r="O48" s="1998"/>
      <c r="P48" s="3627" t="str">
        <f>A48</f>
        <v>成交单价</v>
      </c>
      <c r="Q48" s="3627"/>
      <c r="R48" s="3628">
        <f>E48</f>
        <v>0</v>
      </c>
      <c r="S48" s="3628"/>
      <c r="T48" s="3628">
        <f>G48</f>
        <v>0</v>
      </c>
      <c r="U48" s="3628"/>
      <c r="V48" s="3628">
        <f>I48</f>
        <v>0</v>
      </c>
      <c r="W48" s="3628"/>
      <c r="X48" s="1471"/>
      <c r="Y48" s="1490"/>
      <c r="Z48" s="1471"/>
      <c r="AA48" s="1471"/>
      <c r="AB48" s="1471"/>
      <c r="AC48" s="1471"/>
    </row>
    <row r="49" spans="1:29" ht="21" thickBot="1">
      <c r="A49" s="591" t="s">
        <v>2645</v>
      </c>
      <c r="B49" s="592"/>
      <c r="C49" s="593" t="e">
        <f>R50</f>
        <v>#DIV/0!</v>
      </c>
      <c r="D49" s="2980" t="s">
        <v>2936</v>
      </c>
      <c r="E49" s="593" t="e">
        <f>R49</f>
        <v>#DIV/0!</v>
      </c>
      <c r="F49" s="2981"/>
      <c r="G49" s="594" t="e">
        <f>T49</f>
        <v>#DIV/0!</v>
      </c>
      <c r="H49" s="2981"/>
      <c r="I49" s="593" t="e">
        <f>V49</f>
        <v>#DIV/0!</v>
      </c>
      <c r="J49" s="2981"/>
      <c r="K49" s="2982">
        <f>F49+H49+J49</f>
        <v>0</v>
      </c>
      <c r="L49" s="1997"/>
      <c r="M49" s="1985"/>
      <c r="N49" s="1985"/>
      <c r="O49" s="1998"/>
      <c r="P49" s="3627" t="str">
        <f>A49</f>
        <v>比较价格（元/平方米）</v>
      </c>
      <c r="Q49" s="3627"/>
      <c r="R49" s="3629" t="e">
        <f>ROUND(PRODUCT(R48,AA9:AA47),0)</f>
        <v>#DIV/0!</v>
      </c>
      <c r="S49" s="3629"/>
      <c r="T49" s="3629" t="e">
        <f>ROUND(PRODUCT(T48,AB9:AB47),0)</f>
        <v>#DIV/0!</v>
      </c>
      <c r="U49" s="3629"/>
      <c r="V49" s="3629" t="e">
        <f>ROUND(PRODUCT(V48,AC9:AC47),0)</f>
        <v>#DIV/0!</v>
      </c>
      <c r="W49" s="3629"/>
      <c r="X49" s="1471"/>
      <c r="Y49" s="1471"/>
      <c r="Z49" s="1471"/>
      <c r="AA49" s="1471"/>
      <c r="AB49" s="1471"/>
      <c r="AC49" s="1471"/>
    </row>
    <row r="50" spans="1:29" ht="21" thickBot="1">
      <c r="A50" s="595" t="s">
        <v>2872</v>
      </c>
      <c r="B50" s="596"/>
      <c r="C50" s="597" t="e">
        <f>R50</f>
        <v>#DIV/0!</v>
      </c>
      <c r="D50" s="597"/>
      <c r="E50" s="597"/>
      <c r="F50" s="597"/>
      <c r="G50" s="597"/>
      <c r="H50" s="597"/>
      <c r="I50" s="597"/>
      <c r="J50" s="597"/>
      <c r="K50" s="1269"/>
      <c r="L50" s="1997"/>
      <c r="M50" s="1985"/>
      <c r="N50" s="1985"/>
      <c r="O50" s="1998"/>
      <c r="P50" s="3624" t="str">
        <f>A50</f>
        <v>估价对象XX用房的比较价格（楼面单价，元/平方米）</v>
      </c>
      <c r="Q50" s="3625"/>
      <c r="R50" s="3626" t="e">
        <f>ROUND(IF(D49="简单平均",AVERAGE(R49:W49),R49*F49+T49*H49+V49*J49),0)</f>
        <v>#DIV/0!</v>
      </c>
      <c r="S50" s="3626"/>
      <c r="T50" s="3626"/>
      <c r="U50" s="3626"/>
      <c r="V50" s="3626"/>
      <c r="W50" s="3626"/>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1698</v>
      </c>
      <c r="D57" s="2078" t="s">
        <v>2257</v>
      </c>
      <c r="E57" s="605" t="s">
        <v>540</v>
      </c>
      <c r="F57" s="606" t="s">
        <v>541</v>
      </c>
      <c r="G57" s="3653" t="s">
        <v>2246</v>
      </c>
      <c r="H57" s="3654"/>
      <c r="I57" s="1468" t="s">
        <v>1696</v>
      </c>
      <c r="J57" s="1468">
        <f>项目基本情况!F41</f>
        <v>0</v>
      </c>
      <c r="K57" s="2006" t="s">
        <v>1697</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0</v>
      </c>
      <c r="F58" s="610" t="e">
        <f t="shared" ref="F58:F67" si="15">ROUND(B58*E58/10000,0)</f>
        <v>#DIV/0!</v>
      </c>
      <c r="G58" s="3655"/>
      <c r="H58" s="3656"/>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0.6</v>
      </c>
      <c r="D59" s="2080">
        <v>0.25</v>
      </c>
      <c r="E59" s="613">
        <v>0</v>
      </c>
      <c r="F59" s="610" t="e">
        <f t="shared" si="15"/>
        <v>#DIV/0!</v>
      </c>
      <c r="G59" s="3657" t="s">
        <v>2247</v>
      </c>
      <c r="H59" s="1835" t="str">
        <f>项目基本情况!B43</f>
        <v>八级</v>
      </c>
      <c r="I59" s="1469">
        <f>SUMIF(修正!$A$45:$A$56,H59,修正!B45:B56)</f>
        <v>0.6</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0.3</v>
      </c>
      <c r="D60" s="2080">
        <v>0.25</v>
      </c>
      <c r="E60" s="613">
        <v>0</v>
      </c>
      <c r="F60" s="610" t="e">
        <f t="shared" si="15"/>
        <v>#DIV/0!</v>
      </c>
      <c r="G60" s="3657"/>
      <c r="H60" s="1835" t="str">
        <f>项目基本情况!B43</f>
        <v>八级</v>
      </c>
      <c r="I60" s="1469">
        <f>SUMIF(修正!$A$45:$A$56,H60,修正!C45:C56)</f>
        <v>0.3</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v>
      </c>
      <c r="D61" s="2080">
        <v>0.25</v>
      </c>
      <c r="E61" s="613">
        <v>0</v>
      </c>
      <c r="F61" s="610" t="e">
        <f t="shared" si="15"/>
        <v>#DIV/0!</v>
      </c>
      <c r="G61" s="3657"/>
      <c r="H61" s="1835" t="str">
        <f>项目基本情况!B43</f>
        <v>八级</v>
      </c>
      <c r="I61" s="1469">
        <f>SUMIF(修正!$A$45:$A$56,H61,修正!D45:D56)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v>
      </c>
      <c r="D62" s="2080">
        <v>0.25</v>
      </c>
      <c r="E62" s="613">
        <v>0</v>
      </c>
      <c r="F62" s="610" t="e">
        <f t="shared" si="15"/>
        <v>#DIV/0!</v>
      </c>
      <c r="G62" s="3657"/>
      <c r="H62" s="1835" t="str">
        <f>项目基本情况!B43</f>
        <v>八级</v>
      </c>
      <c r="I62" s="1469">
        <f>SUMIF(修正!$A$45:$A$56,H62,修正!E45:E56)</f>
        <v>0.2</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2292</v>
      </c>
      <c r="B63" s="612" t="e">
        <f t="shared" si="17"/>
        <v>#DIV/0!</v>
      </c>
      <c r="C63" s="372">
        <f t="shared" si="16"/>
        <v>0.2</v>
      </c>
      <c r="D63" s="2080">
        <v>0.25</v>
      </c>
      <c r="E63" s="615">
        <f>'数据-汇总表'!E11</f>
        <v>0</v>
      </c>
      <c r="F63" s="610" t="e">
        <f t="shared" si="15"/>
        <v>#DIV/0!</v>
      </c>
      <c r="G63" s="1832" t="s">
        <v>2248</v>
      </c>
      <c r="H63" s="1835" t="str">
        <f>项目基本情况!C43</f>
        <v>八级</v>
      </c>
      <c r="I63" s="1469">
        <f>SUMIF(修正!$A$45:$A$56,H63,修正!F45:F56)</f>
        <v>0.2</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0.2</v>
      </c>
      <c r="D64" s="2080">
        <v>0.25</v>
      </c>
      <c r="E64" s="615">
        <f>'数据-汇总表'!E12</f>
        <v>0</v>
      </c>
      <c r="F64" s="610" t="e">
        <f t="shared" si="15"/>
        <v>#DIV/0!</v>
      </c>
      <c r="G64" s="1833" t="s">
        <v>1651</v>
      </c>
      <c r="H64" s="1831" t="str">
        <f>IF(G64="商业",项目基本情况!B43,IF(G64="办公",项目基本情况!C43,IF(G64="住宅",项目基本情况!D43,项目基本情况!E43)))</f>
        <v>八级</v>
      </c>
      <c r="I64" s="1469">
        <f>SUMIF(修正!$A$45:$A$56,H64,修正!G45:G56)</f>
        <v>0.2</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0.15</v>
      </c>
      <c r="D65" s="2080">
        <v>0.25</v>
      </c>
      <c r="E65" s="615">
        <f>'数据-汇总表'!E13</f>
        <v>0</v>
      </c>
      <c r="F65" s="610" t="e">
        <f t="shared" si="15"/>
        <v>#DIV/0!</v>
      </c>
      <c r="G65" s="1833" t="s">
        <v>898</v>
      </c>
      <c r="H65" s="1831" t="str">
        <f>IF(G65="商业",项目基本情况!B43,IF(G65="办公",项目基本情况!C43,IF(G65="住宅",项目基本情况!D43,项目基本情况!E43)))</f>
        <v>八级</v>
      </c>
      <c r="I65" s="1469">
        <f>SUMIF(修正!$A$45:$A$56,H65,修正!H45:H56)</f>
        <v>0.15</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0.15</v>
      </c>
      <c r="D66" s="2080">
        <v>0.25</v>
      </c>
      <c r="E66" s="615">
        <f>'数据-汇总表'!E14</f>
        <v>0</v>
      </c>
      <c r="F66" s="610" t="e">
        <f t="shared" si="15"/>
        <v>#DIV/0!</v>
      </c>
      <c r="G66" s="1832" t="s">
        <v>2247</v>
      </c>
      <c r="H66" s="1835" t="str">
        <f>项目基本情况!B43</f>
        <v>八级</v>
      </c>
      <c r="I66" s="1469">
        <f>SUMIF(修正!$A$45:$A$56,H66,修正!H45:H56)</f>
        <v>0.15</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0.15</v>
      </c>
      <c r="D67" s="2080">
        <v>0.25</v>
      </c>
      <c r="E67" s="615">
        <f>'数据-汇总表'!E15</f>
        <v>0</v>
      </c>
      <c r="F67" s="610" t="e">
        <f t="shared" si="15"/>
        <v>#DIV/0!</v>
      </c>
      <c r="G67" s="1834" t="s">
        <v>2248</v>
      </c>
      <c r="H67" s="1836" t="str">
        <f>项目基本情况!C43</f>
        <v>八级</v>
      </c>
      <c r="I67" s="1469">
        <f>SUMIF(修正!$A$45:$A$56,H67,修正!H45:H56)</f>
        <v>0.15</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2258</v>
      </c>
      <c r="E68" s="617" t="e">
        <f>IF(B48="楼面地价",SUM(E58:E67),'数据-汇总表'!D3)</f>
        <v>#DIV/0!</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2022-3-1</v>
      </c>
      <c r="D70" s="2484">
        <f>EDATE(C70,-3)</f>
        <v>44531</v>
      </c>
      <c r="E70" s="2484">
        <f t="shared" ref="E70:N70" si="18">EDATE(D70,-3)</f>
        <v>44440</v>
      </c>
      <c r="F70" s="2484">
        <f t="shared" si="18"/>
        <v>44348</v>
      </c>
      <c r="G70" s="2484">
        <f t="shared" si="18"/>
        <v>44256</v>
      </c>
      <c r="H70" s="2484">
        <f t="shared" si="18"/>
        <v>44166</v>
      </c>
      <c r="I70" s="2484">
        <f t="shared" si="18"/>
        <v>44075</v>
      </c>
      <c r="J70" s="2484">
        <f t="shared" si="18"/>
        <v>43983</v>
      </c>
      <c r="K70" s="2484">
        <f t="shared" si="18"/>
        <v>43891</v>
      </c>
      <c r="L70" s="2484">
        <f t="shared" si="18"/>
        <v>43800</v>
      </c>
      <c r="M70" s="2484">
        <f t="shared" si="18"/>
        <v>43709</v>
      </c>
      <c r="N70" s="2484">
        <f t="shared" si="18"/>
        <v>43617</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2485</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2599</v>
      </c>
      <c r="B73" s="472" t="str">
        <f>"北京市平均增长率"&amp;TEXT(SUMIF(基准地价办公!N21:N25,A73,基准地价办公!P21:P25),"0.00%")</f>
        <v>北京市平均增长率1.64%</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2598</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2501</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2503</v>
      </c>
      <c r="C104" s="2410" t="s">
        <v>2504</v>
      </c>
      <c r="D104" s="2410" t="s">
        <v>2505</v>
      </c>
      <c r="E104" s="2410" t="s">
        <v>2506</v>
      </c>
      <c r="F104" s="2410" t="s">
        <v>2507</v>
      </c>
      <c r="G104" s="2410" t="s">
        <v>2508</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2386</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1659</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3633" t="s">
        <v>500</v>
      </c>
      <c r="D6" s="3634"/>
      <c r="E6" s="3667" t="s">
        <v>501</v>
      </c>
      <c r="F6" s="3668"/>
      <c r="G6" s="3633" t="s">
        <v>502</v>
      </c>
      <c r="H6" s="3634"/>
      <c r="I6" s="3633" t="s">
        <v>503</v>
      </c>
      <c r="J6" s="3634"/>
      <c r="K6" s="490" t="s">
        <v>504</v>
      </c>
      <c r="L6" s="1986"/>
      <c r="M6" s="1987"/>
      <c r="N6" s="1987"/>
      <c r="O6" s="1987"/>
      <c r="P6" s="3635" t="s">
        <v>505</v>
      </c>
      <c r="Q6" s="3636"/>
      <c r="R6" s="3641" t="s">
        <v>501</v>
      </c>
      <c r="S6" s="3642"/>
      <c r="T6" s="3641" t="s">
        <v>502</v>
      </c>
      <c r="U6" s="3642"/>
      <c r="V6" s="3628" t="s">
        <v>503</v>
      </c>
      <c r="W6" s="3628"/>
      <c r="X6" s="1476"/>
      <c r="Y6" s="3641" t="s">
        <v>505</v>
      </c>
      <c r="Z6" s="3642"/>
      <c r="AA6" s="3630" t="s">
        <v>501</v>
      </c>
      <c r="AB6" s="3631" t="s">
        <v>502</v>
      </c>
      <c r="AC6" s="3630" t="s">
        <v>503</v>
      </c>
    </row>
    <row r="7" spans="1:29" ht="15">
      <c r="A7" s="491"/>
      <c r="B7" s="492"/>
      <c r="C7" s="3649" t="s">
        <v>2866</v>
      </c>
      <c r="D7" s="3650"/>
      <c r="E7" s="3669" t="s">
        <v>2867</v>
      </c>
      <c r="F7" s="3670"/>
      <c r="G7" s="3649" t="s">
        <v>2868</v>
      </c>
      <c r="H7" s="3650"/>
      <c r="I7" s="3649" t="s">
        <v>2869</v>
      </c>
      <c r="J7" s="3650"/>
      <c r="K7" s="490"/>
      <c r="L7" s="1986"/>
      <c r="M7" s="1987"/>
      <c r="N7" s="1987"/>
      <c r="O7" s="1987"/>
      <c r="P7" s="3637"/>
      <c r="Q7" s="3638"/>
      <c r="R7" s="3643"/>
      <c r="S7" s="3644"/>
      <c r="T7" s="3643"/>
      <c r="U7" s="3644"/>
      <c r="V7" s="3628"/>
      <c r="W7" s="3628"/>
      <c r="X7" s="1476"/>
      <c r="Y7" s="3643"/>
      <c r="Z7" s="3644"/>
      <c r="AA7" s="3631"/>
      <c r="AB7" s="3631"/>
      <c r="AC7" s="3631"/>
    </row>
    <row r="8" spans="1:29" ht="15.75" thickBot="1">
      <c r="A8" s="493"/>
      <c r="B8" s="494"/>
      <c r="C8" s="3647" t="s">
        <v>2870</v>
      </c>
      <c r="D8" s="3648"/>
      <c r="E8" s="3665" t="s">
        <v>2870</v>
      </c>
      <c r="F8" s="3666"/>
      <c r="G8" s="3647" t="s">
        <v>2870</v>
      </c>
      <c r="H8" s="3648"/>
      <c r="I8" s="3647" t="s">
        <v>2870</v>
      </c>
      <c r="J8" s="3648"/>
      <c r="K8" s="490" t="s">
        <v>506</v>
      </c>
      <c r="L8" s="1986"/>
      <c r="M8" s="1987"/>
      <c r="N8" s="1987"/>
      <c r="O8" s="1987"/>
      <c r="P8" s="3639"/>
      <c r="Q8" s="3640"/>
      <c r="R8" s="3643"/>
      <c r="S8" s="3644"/>
      <c r="T8" s="3645"/>
      <c r="U8" s="3646"/>
      <c r="V8" s="3628"/>
      <c r="W8" s="3628"/>
      <c r="X8" s="1476"/>
      <c r="Y8" s="3645"/>
      <c r="Z8" s="3646"/>
      <c r="AA8" s="3632"/>
      <c r="AB8" s="3632"/>
      <c r="AC8" s="3632"/>
    </row>
    <row r="9" spans="1:29" s="1185" customFormat="1" ht="15.75" thickBot="1">
      <c r="A9" s="2597"/>
      <c r="B9" s="2604" t="s">
        <v>507</v>
      </c>
      <c r="C9" s="495">
        <f>'数据-取费表'!B2</f>
        <v>44622</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58" t="s">
        <v>508</v>
      </c>
      <c r="Q9" s="3660"/>
      <c r="R9" s="1477" t="s">
        <v>8</v>
      </c>
      <c r="S9" s="1478">
        <f t="shared" ref="S9:S17" si="0">F9</f>
        <v>0</v>
      </c>
      <c r="T9" s="1477" t="s">
        <v>8</v>
      </c>
      <c r="U9" s="1478">
        <f t="shared" ref="U9:U17" si="1">H9</f>
        <v>0</v>
      </c>
      <c r="V9" s="1477" t="s">
        <v>8</v>
      </c>
      <c r="W9" s="1478">
        <f t="shared" ref="W9:W17" si="2">J9</f>
        <v>0</v>
      </c>
      <c r="X9" s="1479"/>
      <c r="Y9" s="3658" t="s">
        <v>508</v>
      </c>
      <c r="Z9" s="3659"/>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58" t="s">
        <v>511</v>
      </c>
      <c r="Q10" s="3659"/>
      <c r="R10" s="1477" t="s">
        <v>8</v>
      </c>
      <c r="S10" s="1478">
        <f t="shared" si="0"/>
        <v>0</v>
      </c>
      <c r="T10" s="1477" t="s">
        <v>8</v>
      </c>
      <c r="U10" s="1478">
        <f t="shared" si="1"/>
        <v>0</v>
      </c>
      <c r="V10" s="1477" t="s">
        <v>8</v>
      </c>
      <c r="W10" s="1478">
        <f t="shared" si="2"/>
        <v>0</v>
      </c>
      <c r="X10" s="1479"/>
      <c r="Y10" s="3658" t="s">
        <v>511</v>
      </c>
      <c r="Z10" s="3659"/>
      <c r="AA10" s="1480" t="e">
        <f t="shared" ref="AA10:AA42" si="3">D10/F10</f>
        <v>#DIV/0!</v>
      </c>
      <c r="AB10" s="1480" t="e">
        <f t="shared" ref="AB10:AB42" si="4">D10/H10</f>
        <v>#DIV/0!</v>
      </c>
      <c r="AC10" s="1480" t="e">
        <f t="shared" ref="AC10:AC42" si="5">D10/J10</f>
        <v>#DIV/0!</v>
      </c>
    </row>
    <row r="11" spans="1:29" s="1185" customFormat="1" ht="15">
      <c r="A11" s="2599"/>
      <c r="B11" s="2606" t="s">
        <v>2708</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27" t="s">
        <v>513</v>
      </c>
      <c r="Q11" s="1116" t="str">
        <f t="shared" ref="Q11:Q17" si="6">B11</f>
        <v>用途</v>
      </c>
      <c r="R11" s="1477" t="s">
        <v>8</v>
      </c>
      <c r="S11" s="1478">
        <f t="shared" si="0"/>
        <v>100</v>
      </c>
      <c r="T11" s="1477" t="s">
        <v>8</v>
      </c>
      <c r="U11" s="1478">
        <f t="shared" si="1"/>
        <v>100</v>
      </c>
      <c r="V11" s="1477" t="s">
        <v>8</v>
      </c>
      <c r="W11" s="1478">
        <f t="shared" si="2"/>
        <v>100</v>
      </c>
      <c r="X11" s="1479"/>
      <c r="Y11" s="3569" t="s">
        <v>514</v>
      </c>
      <c r="Z11" s="1115" t="str">
        <f t="shared" ref="Z11:Z17" si="7">Q11</f>
        <v>用途</v>
      </c>
      <c r="AA11" s="1480">
        <f t="shared" si="3"/>
        <v>1</v>
      </c>
      <c r="AB11" s="1480">
        <f t="shared" si="4"/>
        <v>1</v>
      </c>
      <c r="AC11" s="1480">
        <f t="shared" si="5"/>
        <v>1</v>
      </c>
    </row>
    <row r="12" spans="1:29" s="1266" customFormat="1" ht="27">
      <c r="A12" s="2600"/>
      <c r="B12" s="2605" t="s">
        <v>2709</v>
      </c>
      <c r="C12" s="504"/>
      <c r="D12" s="253">
        <v>100</v>
      </c>
      <c r="E12" s="504"/>
      <c r="F12" s="253" t="e">
        <f>ROUND(100/'数据-取费表'!G16,0)</f>
        <v>#DIV/0!</v>
      </c>
      <c r="G12" s="504"/>
      <c r="H12" s="253" t="e">
        <f>ROUND(100/'数据-取费表'!G16,0)</f>
        <v>#DIV/0!</v>
      </c>
      <c r="I12" s="504"/>
      <c r="J12" s="253" t="e">
        <f>ROUND(100/'数据-取费表'!G16,0)</f>
        <v>#DIV/0!</v>
      </c>
      <c r="K12" s="507"/>
      <c r="L12" s="1991"/>
      <c r="M12" s="2030"/>
      <c r="N12" s="2030"/>
      <c r="O12" s="1992"/>
      <c r="P12" s="3627"/>
      <c r="Q12" s="1116" t="str">
        <f t="shared" si="6"/>
        <v>土地使用年限（年）</v>
      </c>
      <c r="R12" s="1477" t="s">
        <v>8</v>
      </c>
      <c r="S12" s="1478" t="e">
        <f t="shared" si="0"/>
        <v>#DIV/0!</v>
      </c>
      <c r="T12" s="1477" t="s">
        <v>8</v>
      </c>
      <c r="U12" s="1478" t="e">
        <f t="shared" si="1"/>
        <v>#DIV/0!</v>
      </c>
      <c r="V12" s="1477" t="s">
        <v>8</v>
      </c>
      <c r="W12" s="1478" t="e">
        <f t="shared" si="2"/>
        <v>#DIV/0!</v>
      </c>
      <c r="X12" s="1479"/>
      <c r="Y12" s="3569"/>
      <c r="Z12" s="1115" t="str">
        <f t="shared" si="7"/>
        <v>土地使用年限（年）</v>
      </c>
      <c r="AA12" s="1480" t="e">
        <f t="shared" si="3"/>
        <v>#DIV/0!</v>
      </c>
      <c r="AB12" s="1480" t="e">
        <f t="shared" si="4"/>
        <v>#DIV/0!</v>
      </c>
      <c r="AC12" s="1480" t="e">
        <f t="shared" si="5"/>
        <v>#DIV/0!</v>
      </c>
    </row>
    <row r="13" spans="1:29" ht="15">
      <c r="A13" s="2601"/>
      <c r="B13" s="2605" t="s">
        <v>2710</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27"/>
      <c r="Q13" s="1116" t="str">
        <f t="shared" si="6"/>
        <v>容积率</v>
      </c>
      <c r="R13" s="1477" t="s">
        <v>8</v>
      </c>
      <c r="S13" s="1478" t="e">
        <f t="shared" si="0"/>
        <v>#N/A</v>
      </c>
      <c r="T13" s="1477" t="s">
        <v>8</v>
      </c>
      <c r="U13" s="1478" t="e">
        <f t="shared" si="1"/>
        <v>#N/A</v>
      </c>
      <c r="V13" s="1477" t="s">
        <v>8</v>
      </c>
      <c r="W13" s="1478" t="e">
        <f t="shared" si="2"/>
        <v>#N/A</v>
      </c>
      <c r="X13" s="1479"/>
      <c r="Y13" s="3569"/>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27"/>
      <c r="Q14" s="1116">
        <f t="shared" si="6"/>
        <v>111</v>
      </c>
      <c r="R14" s="1477" t="s">
        <v>8</v>
      </c>
      <c r="S14" s="1478">
        <f t="shared" si="0"/>
        <v>100</v>
      </c>
      <c r="T14" s="1477" t="s">
        <v>8</v>
      </c>
      <c r="U14" s="1478">
        <f t="shared" si="1"/>
        <v>100</v>
      </c>
      <c r="V14" s="1477" t="s">
        <v>8</v>
      </c>
      <c r="W14" s="1478">
        <f t="shared" si="2"/>
        <v>100</v>
      </c>
      <c r="X14" s="1479"/>
      <c r="Y14" s="3569"/>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27"/>
      <c r="Q15" s="1116">
        <f t="shared" si="6"/>
        <v>111</v>
      </c>
      <c r="R15" s="1477" t="s">
        <v>8</v>
      </c>
      <c r="S15" s="1478">
        <f t="shared" si="0"/>
        <v>100</v>
      </c>
      <c r="T15" s="1477" t="s">
        <v>8</v>
      </c>
      <c r="U15" s="1478">
        <f t="shared" si="1"/>
        <v>100</v>
      </c>
      <c r="V15" s="1477" t="s">
        <v>8</v>
      </c>
      <c r="W15" s="1478">
        <f t="shared" si="2"/>
        <v>100</v>
      </c>
      <c r="X15" s="1479"/>
      <c r="Y15" s="3569"/>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27"/>
      <c r="Q16" s="1116">
        <f t="shared" si="6"/>
        <v>111</v>
      </c>
      <c r="R16" s="1477" t="s">
        <v>8</v>
      </c>
      <c r="S16" s="1478">
        <f t="shared" si="0"/>
        <v>100</v>
      </c>
      <c r="T16" s="1477" t="s">
        <v>8</v>
      </c>
      <c r="U16" s="1478">
        <f t="shared" si="1"/>
        <v>100</v>
      </c>
      <c r="V16" s="1477" t="s">
        <v>8</v>
      </c>
      <c r="W16" s="1478">
        <f t="shared" si="2"/>
        <v>100</v>
      </c>
      <c r="X16" s="1479"/>
      <c r="Y16" s="3569"/>
      <c r="Z16" s="1115">
        <f t="shared" si="7"/>
        <v>111</v>
      </c>
      <c r="AA16" s="1480">
        <f t="shared" si="3"/>
        <v>1</v>
      </c>
      <c r="AB16" s="1480">
        <f t="shared" si="4"/>
        <v>1</v>
      </c>
      <c r="AC16" s="1480">
        <f t="shared" si="5"/>
        <v>1</v>
      </c>
    </row>
    <row r="17" spans="1:29" ht="57">
      <c r="A17" s="2595" t="s">
        <v>2706</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61" t="s">
        <v>518</v>
      </c>
      <c r="Q17" s="1481" t="str">
        <f t="shared" si="6"/>
        <v>产业集聚程度</v>
      </c>
      <c r="R17" s="1482" t="s">
        <v>8</v>
      </c>
      <c r="S17" s="1483">
        <f t="shared" si="0"/>
        <v>100</v>
      </c>
      <c r="T17" s="1482" t="s">
        <v>8</v>
      </c>
      <c r="U17" s="1483">
        <f t="shared" si="1"/>
        <v>100</v>
      </c>
      <c r="V17" s="1482" t="s">
        <v>8</v>
      </c>
      <c r="W17" s="1483">
        <f t="shared" si="2"/>
        <v>100</v>
      </c>
      <c r="X17" s="1476"/>
      <c r="Y17" s="3661"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662"/>
      <c r="Q18" s="1481"/>
      <c r="R18" s="1482"/>
      <c r="S18" s="1483"/>
      <c r="T18" s="1482"/>
      <c r="U18" s="1483"/>
      <c r="V18" s="1482"/>
      <c r="W18" s="1483"/>
      <c r="X18" s="1476"/>
      <c r="Y18" s="3662"/>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62"/>
      <c r="Q19" s="1481" t="str">
        <f>B19</f>
        <v>交通便捷度</v>
      </c>
      <c r="R19" s="1482" t="s">
        <v>8</v>
      </c>
      <c r="S19" s="1483">
        <f>F19</f>
        <v>100</v>
      </c>
      <c r="T19" s="1482" t="s">
        <v>8</v>
      </c>
      <c r="U19" s="1483">
        <f>H19</f>
        <v>100</v>
      </c>
      <c r="V19" s="1482" t="s">
        <v>8</v>
      </c>
      <c r="W19" s="1483">
        <f>J19</f>
        <v>100</v>
      </c>
      <c r="X19" s="1476"/>
      <c r="Y19" s="3662"/>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662"/>
      <c r="Q20" s="1481"/>
      <c r="R20" s="1482"/>
      <c r="S20" s="1483"/>
      <c r="T20" s="1482"/>
      <c r="U20" s="1483"/>
      <c r="V20" s="1482"/>
      <c r="W20" s="1483"/>
      <c r="X20" s="1476"/>
      <c r="Y20" s="3662"/>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62"/>
      <c r="Q21" s="1481" t="str">
        <f t="shared" ref="Q21:Q35" si="8">B21</f>
        <v>区域土地利用方向</v>
      </c>
      <c r="R21" s="1482" t="s">
        <v>8</v>
      </c>
      <c r="S21" s="1483">
        <f>F21</f>
        <v>100</v>
      </c>
      <c r="T21" s="1482" t="s">
        <v>8</v>
      </c>
      <c r="U21" s="1483">
        <f>H21</f>
        <v>100</v>
      </c>
      <c r="V21" s="1482" t="s">
        <v>8</v>
      </c>
      <c r="W21" s="1483">
        <f>J21</f>
        <v>100</v>
      </c>
      <c r="X21" s="1476"/>
      <c r="Y21" s="3662"/>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662"/>
      <c r="Q22" s="1481"/>
      <c r="R22" s="1482"/>
      <c r="S22" s="1483"/>
      <c r="T22" s="1482"/>
      <c r="U22" s="1483"/>
      <c r="V22" s="1482"/>
      <c r="W22" s="1483"/>
      <c r="X22" s="1476"/>
      <c r="Y22" s="3662"/>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62"/>
      <c r="Q23" s="1481" t="str">
        <f t="shared" si="8"/>
        <v>环境状况</v>
      </c>
      <c r="R23" s="1482" t="s">
        <v>8</v>
      </c>
      <c r="S23" s="1483">
        <f>F23</f>
        <v>100</v>
      </c>
      <c r="T23" s="1482" t="s">
        <v>8</v>
      </c>
      <c r="U23" s="1483">
        <f>H23</f>
        <v>100</v>
      </c>
      <c r="V23" s="1482" t="s">
        <v>8</v>
      </c>
      <c r="W23" s="1483">
        <f>J23</f>
        <v>100</v>
      </c>
      <c r="X23" s="1476"/>
      <c r="Y23" s="3662"/>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662"/>
      <c r="Q24" s="1481"/>
      <c r="R24" s="1482"/>
      <c r="S24" s="1483"/>
      <c r="T24" s="1482"/>
      <c r="U24" s="1483"/>
      <c r="V24" s="1482"/>
      <c r="W24" s="1483"/>
      <c r="X24" s="1476"/>
      <c r="Y24" s="3662"/>
      <c r="Z24" s="1484"/>
      <c r="AA24" s="1485">
        <v>1</v>
      </c>
      <c r="AB24" s="1485">
        <v>1</v>
      </c>
      <c r="AC24" s="1485">
        <v>1</v>
      </c>
    </row>
    <row r="25" spans="1:29" s="1185" customFormat="1" ht="42.75">
      <c r="A25" s="553"/>
      <c r="B25" s="2405" t="s">
        <v>2501</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62"/>
      <c r="Q25" s="1116" t="str">
        <f t="shared" si="8"/>
        <v>公共配套设施</v>
      </c>
      <c r="R25" s="1477" t="s">
        <v>8</v>
      </c>
      <c r="S25" s="1478">
        <f>F25</f>
        <v>100</v>
      </c>
      <c r="T25" s="1477" t="s">
        <v>8</v>
      </c>
      <c r="U25" s="1478">
        <f>H25</f>
        <v>100</v>
      </c>
      <c r="V25" s="1477" t="s">
        <v>8</v>
      </c>
      <c r="W25" s="1478">
        <f>J25</f>
        <v>100</v>
      </c>
      <c r="X25" s="1479"/>
      <c r="Y25" s="3662"/>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662"/>
      <c r="Q26" s="1116"/>
      <c r="R26" s="1477"/>
      <c r="S26" s="1478"/>
      <c r="T26" s="1477"/>
      <c r="U26" s="1478"/>
      <c r="V26" s="1477"/>
      <c r="W26" s="1478"/>
      <c r="X26" s="1479"/>
      <c r="Y26" s="3662"/>
      <c r="Z26" s="1115"/>
      <c r="AA26" s="1480">
        <v>1</v>
      </c>
      <c r="AB26" s="1480">
        <v>1</v>
      </c>
      <c r="AC26" s="1480">
        <v>1</v>
      </c>
    </row>
    <row r="27" spans="1:29" s="1185" customFormat="1" ht="28.5">
      <c r="A27" s="553"/>
      <c r="B27" s="2405" t="s">
        <v>2502</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62"/>
      <c r="Q27" s="2396" t="str">
        <f t="shared" ref="Q27" si="9">B27</f>
        <v>基础设施水平</v>
      </c>
      <c r="R27" s="1477" t="s">
        <v>8</v>
      </c>
      <c r="S27" s="1478">
        <f>F27</f>
        <v>100</v>
      </c>
      <c r="T27" s="1477" t="s">
        <v>8</v>
      </c>
      <c r="U27" s="1478">
        <f>H27</f>
        <v>100</v>
      </c>
      <c r="V27" s="1477" t="s">
        <v>8</v>
      </c>
      <c r="W27" s="1478">
        <f>J27</f>
        <v>100</v>
      </c>
      <c r="X27" s="1479"/>
      <c r="Y27" s="3662"/>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662"/>
      <c r="Q28" s="2396"/>
      <c r="R28" s="1477"/>
      <c r="S28" s="1478"/>
      <c r="T28" s="1477"/>
      <c r="U28" s="1478"/>
      <c r="V28" s="1477"/>
      <c r="W28" s="1478"/>
      <c r="X28" s="1479"/>
      <c r="Y28" s="3662"/>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62"/>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62"/>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62"/>
      <c r="Q30" s="1481" t="str">
        <f t="shared" si="8"/>
        <v>毗邻道路的类型与等级</v>
      </c>
      <c r="R30" s="1482" t="s">
        <v>8</v>
      </c>
      <c r="S30" s="1483">
        <f t="shared" si="10"/>
        <v>100</v>
      </c>
      <c r="T30" s="1482" t="s">
        <v>8</v>
      </c>
      <c r="U30" s="1483">
        <f t="shared" si="11"/>
        <v>100</v>
      </c>
      <c r="V30" s="1482" t="s">
        <v>8</v>
      </c>
      <c r="W30" s="1483">
        <f t="shared" si="12"/>
        <v>100</v>
      </c>
      <c r="X30" s="1476"/>
      <c r="Y30" s="3662"/>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662"/>
      <c r="Q31" s="1481"/>
      <c r="R31" s="1482"/>
      <c r="S31" s="1483"/>
      <c r="T31" s="1482"/>
      <c r="U31" s="1483"/>
      <c r="V31" s="1482"/>
      <c r="W31" s="1483"/>
      <c r="X31" s="1476"/>
      <c r="Y31" s="3662"/>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62"/>
      <c r="Q32" s="1481" t="str">
        <f t="shared" si="8"/>
        <v>土地级别</v>
      </c>
      <c r="R32" s="1482" t="s">
        <v>8</v>
      </c>
      <c r="S32" s="1483">
        <f t="shared" si="10"/>
        <v>100</v>
      </c>
      <c r="T32" s="1482" t="s">
        <v>8</v>
      </c>
      <c r="U32" s="1483">
        <f t="shared" si="11"/>
        <v>100</v>
      </c>
      <c r="V32" s="1482" t="s">
        <v>8</v>
      </c>
      <c r="W32" s="1483">
        <f t="shared" si="12"/>
        <v>100</v>
      </c>
      <c r="X32" s="1476"/>
      <c r="Y32" s="3662"/>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62"/>
      <c r="Q33" s="1481">
        <f t="shared" si="8"/>
        <v>111</v>
      </c>
      <c r="R33" s="1482" t="s">
        <v>8</v>
      </c>
      <c r="S33" s="1483">
        <f t="shared" si="10"/>
        <v>100</v>
      </c>
      <c r="T33" s="1482" t="s">
        <v>8</v>
      </c>
      <c r="U33" s="1483">
        <f t="shared" si="11"/>
        <v>100</v>
      </c>
      <c r="V33" s="1482" t="s">
        <v>8</v>
      </c>
      <c r="W33" s="1483">
        <f t="shared" si="12"/>
        <v>100</v>
      </c>
      <c r="X33" s="1476"/>
      <c r="Y33" s="3662"/>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63" t="s">
        <v>528</v>
      </c>
      <c r="Q34" s="1481">
        <f t="shared" si="8"/>
        <v>111</v>
      </c>
      <c r="R34" s="1482" t="s">
        <v>8</v>
      </c>
      <c r="S34" s="1483">
        <f t="shared" si="10"/>
        <v>100</v>
      </c>
      <c r="T34" s="1482" t="s">
        <v>8</v>
      </c>
      <c r="U34" s="1483">
        <f t="shared" si="11"/>
        <v>100</v>
      </c>
      <c r="V34" s="1482" t="s">
        <v>8</v>
      </c>
      <c r="W34" s="1483">
        <f t="shared" si="12"/>
        <v>100</v>
      </c>
      <c r="X34" s="1476"/>
      <c r="Y34" s="3664"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64"/>
      <c r="Q35" s="1481">
        <f t="shared" si="8"/>
        <v>111</v>
      </c>
      <c r="R35" s="1486" t="s">
        <v>8</v>
      </c>
      <c r="S35" s="1487">
        <f t="shared" si="10"/>
        <v>100</v>
      </c>
      <c r="T35" s="1486" t="s">
        <v>8</v>
      </c>
      <c r="U35" s="1487">
        <f t="shared" si="11"/>
        <v>100</v>
      </c>
      <c r="V35" s="1486" t="s">
        <v>8</v>
      </c>
      <c r="W35" s="1487">
        <f t="shared" si="12"/>
        <v>100</v>
      </c>
      <c r="X35" s="1488"/>
      <c r="Y35" s="3664"/>
      <c r="Z35" s="1489">
        <f t="shared" si="13"/>
        <v>111</v>
      </c>
      <c r="AA35" s="1485">
        <f t="shared" si="3"/>
        <v>1</v>
      </c>
      <c r="AB35" s="1485">
        <f t="shared" si="4"/>
        <v>1</v>
      </c>
      <c r="AC35" s="1485">
        <f t="shared" si="5"/>
        <v>1</v>
      </c>
    </row>
    <row r="36" spans="1:29" ht="15">
      <c r="A36" s="2592" t="s">
        <v>2707</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64"/>
      <c r="Q36" s="1481" t="str">
        <f>B36</f>
        <v>宗地面积</v>
      </c>
      <c r="R36" s="1482" t="s">
        <v>8</v>
      </c>
      <c r="S36" s="1483" t="e">
        <f t="shared" si="10"/>
        <v>#N/A</v>
      </c>
      <c r="T36" s="1482" t="s">
        <v>8</v>
      </c>
      <c r="U36" s="1483" t="e">
        <f t="shared" si="11"/>
        <v>#N/A</v>
      </c>
      <c r="V36" s="1482" t="s">
        <v>8</v>
      </c>
      <c r="W36" s="1483" t="e">
        <f t="shared" si="12"/>
        <v>#N/A</v>
      </c>
      <c r="X36" s="1476"/>
      <c r="Y36" s="3664"/>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64"/>
      <c r="Q37" s="1481" t="str">
        <f t="shared" ref="Q37:Q42" si="14">B37</f>
        <v>宗地形状</v>
      </c>
      <c r="R37" s="1482" t="s">
        <v>8</v>
      </c>
      <c r="S37" s="1483">
        <f t="shared" si="10"/>
        <v>100</v>
      </c>
      <c r="T37" s="1482" t="s">
        <v>8</v>
      </c>
      <c r="U37" s="1483">
        <f t="shared" si="11"/>
        <v>100</v>
      </c>
      <c r="V37" s="1482" t="s">
        <v>8</v>
      </c>
      <c r="W37" s="1483">
        <f t="shared" si="12"/>
        <v>100</v>
      </c>
      <c r="X37" s="1476"/>
      <c r="Y37" s="3664"/>
      <c r="Z37" s="1484" t="str">
        <f t="shared" si="13"/>
        <v>宗地形状</v>
      </c>
      <c r="AA37" s="1485">
        <f t="shared" si="3"/>
        <v>1</v>
      </c>
      <c r="AB37" s="1485">
        <f t="shared" si="4"/>
        <v>1</v>
      </c>
      <c r="AC37" s="1485">
        <f t="shared" si="5"/>
        <v>1</v>
      </c>
    </row>
    <row r="38" spans="1:29" s="1185" customFormat="1" ht="15">
      <c r="A38" s="576"/>
      <c r="B38" s="1782" t="s">
        <v>2385</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64"/>
      <c r="Q38" s="1481" t="str">
        <f t="shared" si="14"/>
        <v>宗地开发程度</v>
      </c>
      <c r="R38" s="1477" t="s">
        <v>8</v>
      </c>
      <c r="S38" s="1478">
        <f t="shared" si="10"/>
        <v>100</v>
      </c>
      <c r="T38" s="1477" t="s">
        <v>8</v>
      </c>
      <c r="U38" s="1478">
        <f t="shared" si="11"/>
        <v>100</v>
      </c>
      <c r="V38" s="1477" t="s">
        <v>8</v>
      </c>
      <c r="W38" s="1478">
        <f t="shared" si="12"/>
        <v>100</v>
      </c>
      <c r="X38" s="1479"/>
      <c r="Y38" s="3664"/>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64" t="s">
        <v>579</v>
      </c>
      <c r="Q39" s="1481" t="str">
        <f t="shared" si="14"/>
        <v>工程地质条件</v>
      </c>
      <c r="R39" s="1482" t="s">
        <v>8</v>
      </c>
      <c r="S39" s="1483">
        <f t="shared" si="10"/>
        <v>100</v>
      </c>
      <c r="T39" s="1482" t="s">
        <v>8</v>
      </c>
      <c r="U39" s="1483">
        <f t="shared" si="11"/>
        <v>100</v>
      </c>
      <c r="V39" s="1482" t="s">
        <v>8</v>
      </c>
      <c r="W39" s="1483">
        <f t="shared" si="12"/>
        <v>100</v>
      </c>
      <c r="X39" s="1476"/>
      <c r="Y39" s="3664"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64"/>
      <c r="Q40" s="1481">
        <f t="shared" si="14"/>
        <v>111</v>
      </c>
      <c r="R40" s="1482" t="s">
        <v>8</v>
      </c>
      <c r="S40" s="1483">
        <f t="shared" si="10"/>
        <v>100</v>
      </c>
      <c r="T40" s="1482" t="s">
        <v>8</v>
      </c>
      <c r="U40" s="1483">
        <f t="shared" si="11"/>
        <v>100</v>
      </c>
      <c r="V40" s="1482" t="s">
        <v>8</v>
      </c>
      <c r="W40" s="1483">
        <f t="shared" si="12"/>
        <v>100</v>
      </c>
      <c r="X40" s="1476"/>
      <c r="Y40" s="3664"/>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64"/>
      <c r="Q41" s="1481">
        <f t="shared" si="14"/>
        <v>111</v>
      </c>
      <c r="R41" s="1482" t="s">
        <v>8</v>
      </c>
      <c r="S41" s="1483">
        <f t="shared" si="10"/>
        <v>100</v>
      </c>
      <c r="T41" s="1482" t="s">
        <v>8</v>
      </c>
      <c r="U41" s="1483">
        <f t="shared" si="11"/>
        <v>100</v>
      </c>
      <c r="V41" s="1482" t="s">
        <v>8</v>
      </c>
      <c r="W41" s="1483">
        <f t="shared" si="12"/>
        <v>100</v>
      </c>
      <c r="X41" s="1476"/>
      <c r="Y41" s="3664"/>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64"/>
      <c r="Q42" s="1481">
        <f t="shared" si="14"/>
        <v>111</v>
      </c>
      <c r="R42" s="1486" t="s">
        <v>8</v>
      </c>
      <c r="S42" s="1487">
        <f t="shared" si="10"/>
        <v>100</v>
      </c>
      <c r="T42" s="1486" t="s">
        <v>8</v>
      </c>
      <c r="U42" s="1487">
        <f t="shared" si="11"/>
        <v>100</v>
      </c>
      <c r="V42" s="1486" t="s">
        <v>8</v>
      </c>
      <c r="W42" s="1487">
        <f t="shared" si="12"/>
        <v>100</v>
      </c>
      <c r="X42" s="1488"/>
      <c r="Y42" s="3664"/>
      <c r="Z42" s="1489">
        <f t="shared" si="13"/>
        <v>111</v>
      </c>
      <c r="AA42" s="1485">
        <f t="shared" si="3"/>
        <v>1</v>
      </c>
      <c r="AB42" s="1485">
        <f t="shared" si="4"/>
        <v>1</v>
      </c>
      <c r="AC42" s="1485">
        <f t="shared" si="5"/>
        <v>1</v>
      </c>
    </row>
    <row r="43" spans="1:29" ht="15">
      <c r="A43" s="583" t="s">
        <v>534</v>
      </c>
      <c r="B43" s="584" t="s">
        <v>2871</v>
      </c>
      <c r="C43" s="585" t="s">
        <v>1</v>
      </c>
      <c r="D43" s="586"/>
      <c r="E43" s="587"/>
      <c r="F43" s="588"/>
      <c r="G43" s="589"/>
      <c r="H43" s="590"/>
      <c r="I43" s="587"/>
      <c r="J43" s="590"/>
      <c r="K43" s="1268"/>
      <c r="L43" s="1997"/>
      <c r="M43" s="1987"/>
      <c r="N43" s="1987"/>
      <c r="O43" s="1998"/>
      <c r="P43" s="3627" t="str">
        <f>A43</f>
        <v>成交单价</v>
      </c>
      <c r="Q43" s="3627"/>
      <c r="R43" s="3628">
        <f>E43</f>
        <v>0</v>
      </c>
      <c r="S43" s="3628"/>
      <c r="T43" s="3628">
        <f>G43</f>
        <v>0</v>
      </c>
      <c r="U43" s="3628"/>
      <c r="V43" s="3628">
        <f>I43</f>
        <v>0</v>
      </c>
      <c r="W43" s="3628"/>
      <c r="X43" s="1471"/>
      <c r="Y43" s="1490"/>
      <c r="Z43" s="1471"/>
      <c r="AA43" s="1471"/>
      <c r="AB43" s="1471"/>
      <c r="AC43" s="1471"/>
    </row>
    <row r="44" spans="1:29" ht="15.75" thickBot="1">
      <c r="A44" s="591" t="s">
        <v>2645</v>
      </c>
      <c r="B44" s="592"/>
      <c r="C44" s="593" t="e">
        <f>R45</f>
        <v>#DIV/0!</v>
      </c>
      <c r="D44" s="2980" t="s">
        <v>2936</v>
      </c>
      <c r="E44" s="593" t="e">
        <f>R44</f>
        <v>#DIV/0!</v>
      </c>
      <c r="F44" s="2981"/>
      <c r="G44" s="594" t="e">
        <f>T44</f>
        <v>#DIV/0!</v>
      </c>
      <c r="H44" s="2981"/>
      <c r="I44" s="593" t="e">
        <f>V44</f>
        <v>#DIV/0!</v>
      </c>
      <c r="J44" s="2981"/>
      <c r="K44" s="2982">
        <f>F44+H44+J44</f>
        <v>0</v>
      </c>
      <c r="L44" s="1997"/>
      <c r="M44" s="1987"/>
      <c r="N44" s="1987"/>
      <c r="O44" s="1998"/>
      <c r="P44" s="3627" t="str">
        <f>A44</f>
        <v>比较价格（元/平方米）</v>
      </c>
      <c r="Q44" s="3627"/>
      <c r="R44" s="3629" t="e">
        <f>ROUND(PRODUCT(R43,AA9:AA42),0)</f>
        <v>#DIV/0!</v>
      </c>
      <c r="S44" s="3629"/>
      <c r="T44" s="3629" t="e">
        <f>ROUND(PRODUCT(T43,AB9:AB42),0)</f>
        <v>#DIV/0!</v>
      </c>
      <c r="U44" s="3629"/>
      <c r="V44" s="3629" t="e">
        <f>ROUND(PRODUCT(V43,AC9:AC42),0)</f>
        <v>#DIV/0!</v>
      </c>
      <c r="W44" s="3629"/>
      <c r="X44" s="1471"/>
      <c r="Y44" s="1471"/>
      <c r="Z44" s="1471"/>
      <c r="AA44" s="1471"/>
      <c r="AB44" s="1471"/>
      <c r="AC44" s="1471"/>
    </row>
    <row r="45" spans="1:29" ht="15.75" thickBot="1">
      <c r="A45" s="595" t="s">
        <v>2872</v>
      </c>
      <c r="B45" s="596"/>
      <c r="C45" s="597" t="e">
        <f>R45</f>
        <v>#DIV/0!</v>
      </c>
      <c r="D45" s="597"/>
      <c r="E45" s="597"/>
      <c r="F45" s="597"/>
      <c r="G45" s="597"/>
      <c r="H45" s="597"/>
      <c r="I45" s="597"/>
      <c r="J45" s="597"/>
      <c r="K45" s="1269"/>
      <c r="L45" s="1997"/>
      <c r="M45" s="1987"/>
      <c r="N45" s="1987"/>
      <c r="O45" s="1998"/>
      <c r="P45" s="3624" t="str">
        <f>A45</f>
        <v>估价对象XX用房的比较价格（楼面单价，元/平方米）</v>
      </c>
      <c r="Q45" s="3625"/>
      <c r="R45" s="3676" t="e">
        <f>ROUND(IF(D44="简单平均",AVERAGE(R44:W44),R44*F44+T44*H44+V44*J44),0)</f>
        <v>#DIV/0!</v>
      </c>
      <c r="S45" s="3676"/>
      <c r="T45" s="3676"/>
      <c r="U45" s="3676"/>
      <c r="V45" s="3676"/>
      <c r="W45" s="3676"/>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1698</v>
      </c>
      <c r="D52" s="2078" t="s">
        <v>2257</v>
      </c>
      <c r="E52" s="605" t="s">
        <v>540</v>
      </c>
      <c r="F52" s="1838" t="s">
        <v>541</v>
      </c>
      <c r="G52" s="3671" t="s">
        <v>2249</v>
      </c>
      <c r="H52" s="3672"/>
      <c r="I52" s="1839" t="s">
        <v>1911</v>
      </c>
      <c r="J52" s="1468">
        <f>项目基本情况!F41</f>
        <v>0</v>
      </c>
      <c r="K52" s="2006" t="s">
        <v>1697</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0</v>
      </c>
      <c r="F53" s="1837" t="e">
        <f t="shared" ref="F53:F62" si="15">ROUND(B53*E53/10000,0)</f>
        <v>#DIV/0!</v>
      </c>
      <c r="G53" s="3673"/>
      <c r="H53" s="3674"/>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0.6</v>
      </c>
      <c r="D54" s="2080">
        <v>0.25</v>
      </c>
      <c r="E54" s="613"/>
      <c r="F54" s="1837" t="e">
        <f t="shared" si="15"/>
        <v>#DIV/0!</v>
      </c>
      <c r="G54" s="3675" t="s">
        <v>2250</v>
      </c>
      <c r="H54" s="1841" t="str">
        <f>项目基本情况!B43</f>
        <v>八级</v>
      </c>
      <c r="I54" s="1840">
        <f>SUMIF(修正!$A$45:$A$56,H54,修正!B45:B56)</f>
        <v>0.6</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0.3</v>
      </c>
      <c r="D55" s="2080">
        <v>0.25</v>
      </c>
      <c r="E55" s="613"/>
      <c r="F55" s="1837" t="e">
        <f t="shared" si="15"/>
        <v>#DIV/0!</v>
      </c>
      <c r="G55" s="3675"/>
      <c r="H55" s="1842" t="str">
        <f>项目基本情况!B43</f>
        <v>八级</v>
      </c>
      <c r="I55" s="1840">
        <f>SUMIF(修正!$A$45:$A$56,H55,修正!C45:C56)</f>
        <v>0.3</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0.2</v>
      </c>
      <c r="D56" s="2080">
        <v>0.25</v>
      </c>
      <c r="E56" s="613"/>
      <c r="F56" s="1837" t="e">
        <f t="shared" si="15"/>
        <v>#DIV/0!</v>
      </c>
      <c r="G56" s="3675"/>
      <c r="H56" s="1842" t="str">
        <f>项目基本情况!B43</f>
        <v>八级</v>
      </c>
      <c r="I56" s="1840">
        <f>SUMIF(修正!$A$45:$A$56,H56,修正!D45:D56)</f>
        <v>0.2</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0.2</v>
      </c>
      <c r="D57" s="2080">
        <v>0.25</v>
      </c>
      <c r="E57" s="613"/>
      <c r="F57" s="1837" t="e">
        <f t="shared" si="15"/>
        <v>#DIV/0!</v>
      </c>
      <c r="G57" s="3675"/>
      <c r="H57" s="1842" t="str">
        <f>项目基本情况!B43</f>
        <v>八级</v>
      </c>
      <c r="I57" s="1840">
        <f>SUMIF(修正!$A$45:$A$56,H57,修正!E45:E56)</f>
        <v>0.2</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2292</v>
      </c>
      <c r="B58" s="612" t="e">
        <f t="shared" si="17"/>
        <v>#DIV/0!</v>
      </c>
      <c r="C58" s="372">
        <f t="shared" si="16"/>
        <v>0.2</v>
      </c>
      <c r="D58" s="2080">
        <v>0.25</v>
      </c>
      <c r="E58" s="615">
        <f>'数据-汇总表'!E11</f>
        <v>0</v>
      </c>
      <c r="F58" s="1837" t="e">
        <f t="shared" si="15"/>
        <v>#DIV/0!</v>
      </c>
      <c r="G58" s="1843" t="s">
        <v>2251</v>
      </c>
      <c r="H58" s="1842" t="str">
        <f>项目基本情况!C43</f>
        <v>八级</v>
      </c>
      <c r="I58" s="1840">
        <f>SUMIF(修正!$A$45:$A$56,H58,修正!F45:F56)</f>
        <v>0.2</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0.2</v>
      </c>
      <c r="D59" s="2080">
        <v>0.25</v>
      </c>
      <c r="E59" s="615">
        <f>'数据-汇总表'!E12</f>
        <v>0</v>
      </c>
      <c r="F59" s="1837" t="e">
        <f t="shared" si="15"/>
        <v>#DIV/0!</v>
      </c>
      <c r="G59" s="1833" t="s">
        <v>1651</v>
      </c>
      <c r="H59" s="1841" t="str">
        <f>IF(G59="商业",项目基本情况!B43,IF(G59="办公",项目基本情况!C43,IF(G59="住宅",项目基本情况!D43,项目基本情况!E43)))</f>
        <v>八级</v>
      </c>
      <c r="I59" s="1840">
        <f>SUMIF(修正!$A$45:$A$56,H59,修正!G45:G56)</f>
        <v>0.2</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0.15</v>
      </c>
      <c r="D60" s="2080">
        <v>0.25</v>
      </c>
      <c r="E60" s="615">
        <f>'数据-汇总表'!E13</f>
        <v>0</v>
      </c>
      <c r="F60" s="1837" t="e">
        <f t="shared" si="15"/>
        <v>#DIV/0!</v>
      </c>
      <c r="G60" s="1833" t="s">
        <v>898</v>
      </c>
      <c r="H60" s="1841" t="str">
        <f>IF(G60="商业",项目基本情况!B43,IF(G60="办公",项目基本情况!C43,IF(G60="住宅",项目基本情况!D43,项目基本情况!E43)))</f>
        <v>八级</v>
      </c>
      <c r="I60" s="1840">
        <f>SUMIF(修正!$A$45:$A$56,H60,修正!H45:H56)</f>
        <v>0.15</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0.15</v>
      </c>
      <c r="D61" s="2080">
        <v>0.25</v>
      </c>
      <c r="E61" s="615">
        <f>'数据-汇总表'!E14</f>
        <v>0</v>
      </c>
      <c r="F61" s="1837" t="e">
        <f t="shared" si="15"/>
        <v>#DIV/0!</v>
      </c>
      <c r="G61" s="1843" t="s">
        <v>2250</v>
      </c>
      <c r="H61" s="1842" t="str">
        <f>项目基本情况!B43</f>
        <v>八级</v>
      </c>
      <c r="I61" s="1840">
        <f>SUMIF(修正!$A$45:$A$56,H61,修正!H45:H56)</f>
        <v>0.15</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0.15</v>
      </c>
      <c r="D62" s="2080">
        <v>0.25</v>
      </c>
      <c r="E62" s="615">
        <f>'数据-汇总表'!E15</f>
        <v>0</v>
      </c>
      <c r="F62" s="1837" t="e">
        <f t="shared" si="15"/>
        <v>#DIV/0!</v>
      </c>
      <c r="G62" s="1844" t="s">
        <v>2251</v>
      </c>
      <c r="H62" s="1845" t="str">
        <f>项目基本情况!C43</f>
        <v>八级</v>
      </c>
      <c r="I62" s="1840">
        <f>SUMIF(修正!$A$45:$A$56,H62,修正!H45:H56)</f>
        <v>0.15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2258</v>
      </c>
      <c r="E63" s="617" t="e">
        <f>IF(B43="楼面地价",SUM(E53:E62),'数据-汇总表'!D3)</f>
        <v>#DIV/0!</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2022-3-1</v>
      </c>
      <c r="D65" s="2484">
        <f>EDATE(C65,-3)</f>
        <v>44531</v>
      </c>
      <c r="E65" s="2484">
        <f t="shared" ref="E65:N65" si="18">EDATE(D65,-3)</f>
        <v>44440</v>
      </c>
      <c r="F65" s="2484">
        <f t="shared" si="18"/>
        <v>44348</v>
      </c>
      <c r="G65" s="2484">
        <f t="shared" si="18"/>
        <v>44256</v>
      </c>
      <c r="H65" s="2484">
        <f t="shared" si="18"/>
        <v>44166</v>
      </c>
      <c r="I65" s="2484">
        <f t="shared" si="18"/>
        <v>44075</v>
      </c>
      <c r="J65" s="2484">
        <f t="shared" si="18"/>
        <v>43983</v>
      </c>
      <c r="K65" s="2484">
        <f t="shared" si="18"/>
        <v>43891</v>
      </c>
      <c r="L65" s="2484">
        <f t="shared" si="18"/>
        <v>43800</v>
      </c>
      <c r="M65" s="2484">
        <f t="shared" si="18"/>
        <v>43709</v>
      </c>
      <c r="N65" s="2484">
        <f t="shared" si="18"/>
        <v>43617</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2486</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2601</v>
      </c>
      <c r="B68" s="472" t="str">
        <f>"北京市平均增长率"&amp;TEXT(基准地价办公!P24,"0.00%")</f>
        <v>北京市平均增长率1.20%</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2501</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2503</v>
      </c>
      <c r="C95" s="2410" t="s">
        <v>2504</v>
      </c>
      <c r="D95" s="2410" t="s">
        <v>2505</v>
      </c>
      <c r="E95" s="2410" t="s">
        <v>2506</v>
      </c>
      <c r="F95" s="2410" t="s">
        <v>2507</v>
      </c>
      <c r="G95" s="2410" t="s">
        <v>2508</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2386</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C22" sqref="C2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1668</v>
      </c>
      <c r="B1" s="1323"/>
      <c r="C1" s="1329" t="s">
        <v>2387</v>
      </c>
      <c r="D1" s="1435">
        <f>SUM(D29:D30,D33:D39)</f>
        <v>0</v>
      </c>
      <c r="E1" s="1329" t="s">
        <v>2388</v>
      </c>
      <c r="F1" s="2278"/>
      <c r="G1" s="1324"/>
      <c r="H1" s="1324"/>
      <c r="I1" s="1324"/>
      <c r="J1" s="1324"/>
      <c r="K1" s="2041"/>
      <c r="L1" s="1769" t="s">
        <v>2204</v>
      </c>
      <c r="M1" s="1770">
        <f>SUMPRODUCT((区片价!B5:B9=I2)*(区片价!C3:F3=E2)*(区片价!C5:F9))</f>
        <v>0</v>
      </c>
      <c r="N1" s="1771">
        <f>SUMPRODUCT((因素修正幅度!B5:B9=I2)*(因素修正幅度!C3:F3=E2)*(因素修正幅度!C5:F9))</f>
        <v>0</v>
      </c>
      <c r="O1" s="2041"/>
      <c r="P1" s="2041"/>
      <c r="Q1" s="2041"/>
      <c r="R1" s="2621" t="s">
        <v>2713</v>
      </c>
      <c r="S1" s="2621" t="s">
        <v>2714</v>
      </c>
      <c r="T1" s="2621" t="s">
        <v>2735</v>
      </c>
      <c r="U1" s="2621" t="s">
        <v>2736</v>
      </c>
      <c r="V1" s="2621" t="s">
        <v>2737</v>
      </c>
      <c r="W1" s="2041"/>
      <c r="X1" s="2041"/>
      <c r="Y1" s="2041"/>
      <c r="Z1" s="2041"/>
      <c r="AA1" s="2041"/>
      <c r="AB1" s="2041"/>
      <c r="AC1" s="2042"/>
    </row>
    <row r="2" spans="1:39" ht="15.75">
      <c r="A2" s="1329" t="s">
        <v>895</v>
      </c>
      <c r="B2" s="1007">
        <f ca="1">C26</f>
        <v>0</v>
      </c>
      <c r="C2" s="1330" t="s">
        <v>896</v>
      </c>
      <c r="D2" s="1331" t="s">
        <v>897</v>
      </c>
      <c r="E2" s="1332" t="s">
        <v>898</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Ⅷ-通1</v>
      </c>
      <c r="J2" s="1333"/>
      <c r="K2" s="3197"/>
      <c r="L2" s="1772" t="s">
        <v>2205</v>
      </c>
      <c r="M2" s="1773">
        <f>SUMPRODUCT((区片价!B10:B28=I2)*(区片价!C3:F3=E2)*(区片价!C10:F28))</f>
        <v>0</v>
      </c>
      <c r="N2" s="1774">
        <f>SUMPRODUCT((因素修正幅度!B10:B28=I2)*(因素修正幅度!C3:F3=E2)*(因素修正幅度!C10:F28))</f>
        <v>0</v>
      </c>
      <c r="O2" s="3197"/>
      <c r="P2" s="2041"/>
      <c r="Q2" s="2041"/>
      <c r="R2" s="2622">
        <v>1</v>
      </c>
      <c r="S2" s="2622" t="e">
        <f>ROUND(IF(G3&gt;1,IF(R2&lt;7,SUMPRODUCT((B93:B98=R2)*(C92:N92=G2)*(C93:N98)),SUMIF(C92:N92,G2,C100:N100)),IF(R2&lt;7,SUMPRODUCT((B102:B107=R2)*(C92:N92=G2)*(C102:N107)),SUMIF(C92:N92,G2,C109:N109))),4)</f>
        <v>#DIV/0!</v>
      </c>
      <c r="T2" s="2622" t="e">
        <f ca="1">ROUND($C$5*$C$18*$C$19*$C$20*S2*$C$24,0)</f>
        <v>#DIV/0!</v>
      </c>
      <c r="U2" s="2611"/>
      <c r="V2" s="2622" t="e">
        <f ca="1">ROUND(T2*U2/10000,0)</f>
        <v>#DIV/0!</v>
      </c>
      <c r="W2" s="2041"/>
      <c r="X2" s="2041"/>
      <c r="Y2" s="2041"/>
      <c r="Z2" s="2041"/>
      <c r="AA2" s="2041"/>
      <c r="AB2" s="2041"/>
      <c r="AC2" s="2042"/>
    </row>
    <row r="3" spans="1:39" ht="24">
      <c r="A3" s="1334" t="s">
        <v>1661</v>
      </c>
      <c r="B3" s="1007" t="e">
        <f ca="1">ROUND(B2*10000/D1,0)</f>
        <v>#DIV/0!</v>
      </c>
      <c r="C3" s="1330" t="s">
        <v>902</v>
      </c>
      <c r="D3" s="1331" t="s">
        <v>903</v>
      </c>
      <c r="E3" s="1335" t="s">
        <v>3128</v>
      </c>
      <c r="F3" s="1336"/>
      <c r="G3" s="1008">
        <f>IF(F3="宗地容积率",'数据-汇总表'!I4,IF(F3="估价对象容积率",'数据-汇总表'!I6,'数据-汇总表'!I7))</f>
        <v>0</v>
      </c>
      <c r="H3" s="1337" t="s">
        <v>904</v>
      </c>
      <c r="I3" s="1009"/>
      <c r="J3" s="1333" t="s">
        <v>905</v>
      </c>
      <c r="K3" s="3197"/>
      <c r="L3" s="1772" t="s">
        <v>2206</v>
      </c>
      <c r="M3" s="1773">
        <f>SUMPRODUCT((区片价!B29:B48=I2)*(区片价!C3:F3=E2)*(区片价!C29:F48))</f>
        <v>0</v>
      </c>
      <c r="N3" s="1774">
        <f>SUMPRODUCT((因素修正幅度!B29:B48=I2)*(因素修正幅度!C3:F3=E2)*(因素修正幅度!C29:F48))</f>
        <v>0</v>
      </c>
      <c r="O3" s="3197"/>
      <c r="P3" s="2041"/>
      <c r="Q3" s="2041"/>
      <c r="R3" s="2622">
        <v>2</v>
      </c>
      <c r="S3" s="2622" t="e">
        <f>ROUND(IF(G3&gt;1,IF(R3&lt;7,SUMPRODUCT((B93:B98=R3)*(C92:N92=G2)*(C93:N98)),SUMIF(C92:N92,G2,C100:N100)),IF(R3&lt;7,SUMPRODUCT((B102:B107=R3)*(C92:N92=G2)*(C102:N107)),SUMIF(C92:N92,G2,C109:N109))),4)</f>
        <v>#DIV/0!</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2245</v>
      </c>
      <c r="B4" s="2279" t="e">
        <f ca="1">ROUND(B2*10000/F1,0)</f>
        <v>#DIV/0!</v>
      </c>
      <c r="C4" s="1781" t="s">
        <v>2220</v>
      </c>
      <c r="D4" s="1781" t="e">
        <f ca="1">ROUND(B2/(F1/666.67),0)</f>
        <v>#DIV/0!</v>
      </c>
      <c r="E4" s="1781" t="s">
        <v>2221</v>
      </c>
      <c r="F4" s="1779"/>
      <c r="G4" s="1779"/>
      <c r="H4" s="1779"/>
      <c r="I4" s="1779"/>
      <c r="J4" s="1780"/>
      <c r="K4" s="3198"/>
      <c r="L4" s="1772" t="s">
        <v>2207</v>
      </c>
      <c r="M4" s="1773">
        <f>SUMPRODUCT((区片价!B49:B75=I2)*(区片价!C3:F3=E2)*(区片价!C49:F75))</f>
        <v>0</v>
      </c>
      <c r="N4" s="1774">
        <f>SUMPRODUCT((因素修正幅度!B49:B75=I2)*(因素修正幅度!C3:F3=E2)*(因素修正幅度!C49:F75))</f>
        <v>0</v>
      </c>
      <c r="O4" s="3198"/>
      <c r="P4" s="2041"/>
      <c r="Q4" s="2041"/>
      <c r="R4" s="2622">
        <v>3</v>
      </c>
      <c r="S4" s="2622" t="e">
        <f>ROUND(IF(G3&gt;1,IF(R4&lt;7,SUMPRODUCT((B93:B98=R4)*(C92:N92=G2)*(C93:N98)),SUMIF(C92:N92,G2,C100:N100)),IF(R4&lt;7,SUMPRODUCT((B102:B107=R4)*(C92:N92=G2)*(C102:N107)),SUMIF(C92:N92,G2,C109:N109))),4)</f>
        <v>#DIV/0!</v>
      </c>
      <c r="T4" s="2622" t="e">
        <f t="shared" ca="1" si="0"/>
        <v>#DIV/0!</v>
      </c>
      <c r="U4" s="2611"/>
      <c r="V4" s="2622" t="e">
        <f t="shared" ca="1" si="1"/>
        <v>#DIV/0!</v>
      </c>
      <c r="W4" s="2041"/>
      <c r="X4" s="2041"/>
      <c r="Y4" s="2041"/>
      <c r="Z4" s="2041"/>
      <c r="AA4" s="2041"/>
      <c r="AB4" s="2041"/>
      <c r="AC4" s="2042"/>
    </row>
    <row r="5" spans="1:39" s="1344" customFormat="1" ht="15.75" thickBot="1">
      <c r="A5" s="1540" t="s">
        <v>1797</v>
      </c>
      <c r="B5" s="1338" t="s">
        <v>906</v>
      </c>
      <c r="C5" s="1010">
        <f>ROUND(IF(E2="商业",C6*C7+C16,(IF(E2="住宅",C6*C12+C16,C6+C16))),0)</f>
        <v>6072</v>
      </c>
      <c r="D5" s="2759">
        <f>ROUND(C6+C16,0)</f>
        <v>5520</v>
      </c>
      <c r="E5" s="2759"/>
      <c r="F5" s="1339"/>
      <c r="G5" s="1340"/>
      <c r="H5" s="1340"/>
      <c r="I5" s="1340"/>
      <c r="J5" s="1341"/>
      <c r="K5" s="3199"/>
      <c r="L5" s="1772" t="s">
        <v>2208</v>
      </c>
      <c r="M5" s="1773">
        <f>SUMPRODUCT((区片价!B76:B109=I2)*(区片价!C3:F3=E2)*(区片价!C76:F109))</f>
        <v>0</v>
      </c>
      <c r="N5" s="1774">
        <f>SUMPRODUCT((因素修正幅度!B76:B109=I2)*(因素修正幅度!C3:F3=E2)*(因素修正幅度!C76:F109))</f>
        <v>0</v>
      </c>
      <c r="O5" s="3199"/>
      <c r="P5" s="3202"/>
      <c r="Q5" s="2041"/>
      <c r="R5" s="2622">
        <v>4</v>
      </c>
      <c r="S5" s="2622" t="e">
        <f>ROUND(IF(G3&gt;1,IF(R5&lt;7,SUMPRODUCT((B93:B98=R5)*(C92:N92=G2)*(C93:N98)),SUMIF(C92:N92,G2,C100:N100)),IF(R5&lt;7,SUMPRODUCT((B102:B107=R5)*(C92:N92=G2)*(C102:N107)),SUMIF(C92:N92,G2,C109:N109))),4)</f>
        <v>#DIV/0!</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1838</v>
      </c>
      <c r="B6" s="1345" t="s">
        <v>906</v>
      </c>
      <c r="C6" s="1011">
        <f>SUMIF(L1:L12,基准地价住宅!G2,M1:M12)</f>
        <v>5520</v>
      </c>
      <c r="D6" s="1346" t="s">
        <v>1669</v>
      </c>
      <c r="E6" s="1347"/>
      <c r="F6" s="1347"/>
      <c r="G6" s="1348"/>
      <c r="H6" s="1348"/>
      <c r="I6" s="1348"/>
      <c r="J6" s="1349"/>
      <c r="K6" s="3200"/>
      <c r="L6" s="1772" t="s">
        <v>2209</v>
      </c>
      <c r="M6" s="1773">
        <f>SUMPRODUCT((区片价!B110:B157=I2)*(区片价!C3:F3=E2)*(区片价!C110:F157))</f>
        <v>0</v>
      </c>
      <c r="N6" s="1774">
        <f>SUMPRODUCT((因素修正幅度!B110:B157=I2)*(因素修正幅度!C3:F3=E2)*(因素修正幅度!C110:F157))</f>
        <v>0</v>
      </c>
      <c r="O6" s="3200"/>
      <c r="P6" s="3203"/>
      <c r="Q6" s="2041"/>
      <c r="R6" s="2622">
        <v>5</v>
      </c>
      <c r="S6" s="2622" t="e">
        <f>ROUND(IF(G3&gt;1,IF(R6&lt;7,SUMPRODUCT((B93:B98=R6)*(C92:N92=G2)*(C93:N98)),SUMIF(C92:N92,G2,C100:N100)),IF(R6&lt;7,SUMPRODUCT((B102:B107=R6)*(C92:N92=G2)*(C102:N107)),SUMIF(C92:N92,G2,C109:N109))),4)</f>
        <v>#DIV/0!</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3691" t="str">
        <f>IF(E2="商业",IF(C8="不临58条商业街","",2),"")</f>
        <v/>
      </c>
      <c r="B7" s="1350" t="s">
        <v>907</v>
      </c>
      <c r="C7" s="1012" t="e">
        <f>IF(C8="不临58条商业街",1,ROUND(1+(1.6*E8+1.2*E9+0.8*E10+0.4*E11)*C9,4))</f>
        <v>#DIV/0!</v>
      </c>
      <c r="D7" s="1351" t="s">
        <v>908</v>
      </c>
      <c r="E7" s="1013"/>
      <c r="F7" s="1352"/>
      <c r="G7" s="1353"/>
      <c r="H7" s="1353"/>
      <c r="I7" s="1353"/>
      <c r="J7" s="1354"/>
      <c r="K7" s="3200"/>
      <c r="L7" s="1772" t="s">
        <v>2210</v>
      </c>
      <c r="M7" s="1773">
        <f>SUMPRODUCT((区片价!B158:B205=I2)*(区片价!C3:F3=E2)*(区片价!C158:F205))</f>
        <v>0</v>
      </c>
      <c r="N7" s="1774">
        <f>SUMPRODUCT((因素修正幅度!B158:B205=I2)*(因素修正幅度!C3:F3=E2)*(因素修正幅度!C158:F205))</f>
        <v>0</v>
      </c>
      <c r="O7" s="3200"/>
      <c r="P7" s="3203"/>
      <c r="Q7" s="2041"/>
      <c r="R7" s="2622">
        <v>6</v>
      </c>
      <c r="S7" s="2622" t="e">
        <f>ROUND(IF(G3&gt;1,IF(R7&lt;7,SUMPRODUCT((B93:B98=R7)*(C92:N92=G2)*(C93:N98)),SUMIF(C92:N92,G2,C100:N100)),IF(R7&lt;7,SUMPRODUCT((B102:B107=R7)*(C92:N92=G2)*(C102:N107)),SUMIF(C92:N92,G2,C109:N109))),4)</f>
        <v>#DIV/0!</v>
      </c>
      <c r="T7" s="2622" t="e">
        <f t="shared" ca="1" si="0"/>
        <v>#DIV/0!</v>
      </c>
      <c r="U7" s="2611"/>
      <c r="V7" s="2622" t="e">
        <f t="shared" ca="1" si="1"/>
        <v>#DIV/0!</v>
      </c>
      <c r="W7" s="3446" t="s">
        <v>2716</v>
      </c>
      <c r="X7" s="2612" t="str">
        <f>G2</f>
        <v>八级</v>
      </c>
      <c r="Y7" s="2612" t="s">
        <v>2717</v>
      </c>
      <c r="Z7" s="2613">
        <f>G3</f>
        <v>0</v>
      </c>
      <c r="AA7" s="2044"/>
      <c r="AB7" s="2044"/>
      <c r="AC7" s="2045"/>
      <c r="AD7" s="2614"/>
      <c r="AE7" s="2614"/>
      <c r="AF7" s="2614"/>
      <c r="AG7" s="2614"/>
      <c r="AH7" s="2614"/>
      <c r="AI7" s="2614"/>
      <c r="AJ7" s="2615"/>
    </row>
    <row r="8" spans="1:39" ht="15">
      <c r="A8" s="3692"/>
      <c r="B8" s="1337" t="s">
        <v>909</v>
      </c>
      <c r="C8" s="1443"/>
      <c r="D8" s="1014" t="s">
        <v>910</v>
      </c>
      <c r="E8" s="1015" t="e">
        <f>ROUND(C11/E7,4)</f>
        <v>#DIV/0!</v>
      </c>
      <c r="F8" s="1355" t="s">
        <v>911</v>
      </c>
      <c r="G8" s="1356"/>
      <c r="H8" s="1356"/>
      <c r="I8" s="1356"/>
      <c r="J8" s="1357"/>
      <c r="K8" s="3200"/>
      <c r="L8" s="1772" t="s">
        <v>2211</v>
      </c>
      <c r="M8" s="1773">
        <f>SUMPRODUCT((区片价!B206:B244=I2)*(区片价!C3:F3=E2)*(区片价!C206:F244))</f>
        <v>5520</v>
      </c>
      <c r="N8" s="1774">
        <f>SUMPRODUCT((因素修正幅度!B206:B244=I2)*(因素修正幅度!C3:F3=E2)*(因素修正幅度!C206:F244))</f>
        <v>0.15</v>
      </c>
      <c r="O8" s="3200"/>
      <c r="P8" s="2041"/>
      <c r="Q8" s="2041"/>
      <c r="R8" s="2622">
        <v>7</v>
      </c>
      <c r="S8" s="2611"/>
      <c r="T8" s="2622">
        <f t="shared" ca="1" si="0"/>
        <v>0</v>
      </c>
      <c r="U8" s="2611"/>
      <c r="V8" s="2622">
        <f t="shared" ca="1" si="1"/>
        <v>0</v>
      </c>
      <c r="W8" s="3678" t="s">
        <v>2734</v>
      </c>
      <c r="X8" s="3679"/>
      <c r="Y8" s="1736" t="s">
        <v>2718</v>
      </c>
      <c r="Z8" s="1736" t="s">
        <v>2719</v>
      </c>
      <c r="AA8" s="1736" t="s">
        <v>2720</v>
      </c>
      <c r="AB8" s="1736" t="s">
        <v>2721</v>
      </c>
      <c r="AC8" s="1736" t="s">
        <v>2722</v>
      </c>
      <c r="AD8" s="1736" t="s">
        <v>2723</v>
      </c>
      <c r="AE8" s="1736" t="s">
        <v>2724</v>
      </c>
      <c r="AF8" s="1736" t="s">
        <v>2725</v>
      </c>
      <c r="AG8" s="1736" t="s">
        <v>2726</v>
      </c>
      <c r="AH8" s="1736" t="s">
        <v>2727</v>
      </c>
      <c r="AI8" s="1736" t="s">
        <v>2728</v>
      </c>
      <c r="AJ8" s="1736" t="s">
        <v>2729</v>
      </c>
    </row>
    <row r="9" spans="1:39" ht="15">
      <c r="A9" s="3692"/>
      <c r="B9" s="1337" t="s">
        <v>912</v>
      </c>
      <c r="C9" s="1016">
        <f>SUMIF(修正!C59:C119,C8,修正!E59:E119)</f>
        <v>0</v>
      </c>
      <c r="D9" s="1017" t="s">
        <v>913</v>
      </c>
      <c r="E9" s="1017" t="e">
        <f>ROUND(C11/E7,4)</f>
        <v>#DIV/0!</v>
      </c>
      <c r="F9" s="1355" t="s">
        <v>914</v>
      </c>
      <c r="G9" s="1356"/>
      <c r="H9" s="1356"/>
      <c r="I9" s="1356"/>
      <c r="J9" s="1357"/>
      <c r="K9" s="3200"/>
      <c r="L9" s="1772" t="s">
        <v>2212</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677" t="s">
        <v>2730</v>
      </c>
      <c r="X9" s="2616" t="s">
        <v>2731</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692"/>
      <c r="B10" s="1337" t="s">
        <v>915</v>
      </c>
      <c r="C10" s="1017">
        <f>SUMIF(修正!C59:C119,C8,修正!F59:F119)</f>
        <v>0</v>
      </c>
      <c r="D10" s="1017" t="s">
        <v>916</v>
      </c>
      <c r="E10" s="1017" t="e">
        <f>ROUND(C11/E7,4)</f>
        <v>#DIV/0!</v>
      </c>
      <c r="F10" s="1355" t="s">
        <v>917</v>
      </c>
      <c r="G10" s="1356"/>
      <c r="H10" s="1356"/>
      <c r="I10" s="1356"/>
      <c r="J10" s="1357"/>
      <c r="K10" s="3200"/>
      <c r="L10" s="1772" t="s">
        <v>2213</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67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692"/>
      <c r="B11" s="1358" t="s">
        <v>918</v>
      </c>
      <c r="C11" s="1018">
        <f>C10/4</f>
        <v>0</v>
      </c>
      <c r="D11" s="1018" t="s">
        <v>919</v>
      </c>
      <c r="E11" s="1018" t="e">
        <f>ROUND(C11/E7,4)</f>
        <v>#DIV/0!</v>
      </c>
      <c r="F11" s="1359" t="s">
        <v>920</v>
      </c>
      <c r="G11" s="1360"/>
      <c r="H11" s="1360"/>
      <c r="I11" s="1360"/>
      <c r="J11" s="1361"/>
      <c r="K11" s="3200"/>
      <c r="L11" s="1772" t="s">
        <v>2214</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677" t="s">
        <v>2732</v>
      </c>
      <c r="X11" s="1017" t="s">
        <v>2717</v>
      </c>
      <c r="Y11" s="1555">
        <f>$G$3</f>
        <v>0</v>
      </c>
      <c r="Z11" s="1555">
        <f t="shared" ref="Z11:AJ11" si="3">$G$3</f>
        <v>0</v>
      </c>
      <c r="AA11" s="1555">
        <f t="shared" si="3"/>
        <v>0</v>
      </c>
      <c r="AB11" s="1555">
        <f t="shared" si="3"/>
        <v>0</v>
      </c>
      <c r="AC11" s="1555">
        <f t="shared" si="3"/>
        <v>0</v>
      </c>
      <c r="AD11" s="1555">
        <f t="shared" si="3"/>
        <v>0</v>
      </c>
      <c r="AE11" s="1555">
        <f t="shared" si="3"/>
        <v>0</v>
      </c>
      <c r="AF11" s="1555">
        <f t="shared" si="3"/>
        <v>0</v>
      </c>
      <c r="AG11" s="1555">
        <f t="shared" si="3"/>
        <v>0</v>
      </c>
      <c r="AH11" s="1555">
        <f t="shared" si="3"/>
        <v>0</v>
      </c>
      <c r="AI11" s="1555">
        <f t="shared" si="3"/>
        <v>0</v>
      </c>
      <c r="AJ11" s="1555">
        <f t="shared" si="3"/>
        <v>0</v>
      </c>
    </row>
    <row r="12" spans="1:39" ht="25.5" thickBot="1">
      <c r="A12" s="3691" t="s">
        <v>1839</v>
      </c>
      <c r="B12" s="1362" t="s">
        <v>921</v>
      </c>
      <c r="C12" s="1012">
        <f>ROUND(C15*D15*E15*F15*G15*H15*I15*J15,4)</f>
        <v>1.1000000000000001</v>
      </c>
      <c r="D12" s="1363" t="s">
        <v>922</v>
      </c>
      <c r="E12" s="1364"/>
      <c r="F12" s="1364"/>
      <c r="G12" s="1365"/>
      <c r="H12" s="1365"/>
      <c r="I12" s="1365"/>
      <c r="J12" s="1366"/>
      <c r="K12" s="3200"/>
      <c r="L12" s="1775" t="s">
        <v>2215</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677"/>
      <c r="X12" s="2619" t="s">
        <v>2733</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693"/>
      <c r="B13" s="1367" t="s">
        <v>1670</v>
      </c>
      <c r="C13" s="1368" t="s">
        <v>1671</v>
      </c>
      <c r="D13" s="1054" t="s">
        <v>1672</v>
      </c>
      <c r="E13" s="1054" t="s">
        <v>1673</v>
      </c>
      <c r="F13" s="1369" t="s">
        <v>923</v>
      </c>
      <c r="G13" s="1370" t="s">
        <v>1616</v>
      </c>
      <c r="H13" s="1371" t="s">
        <v>1616</v>
      </c>
      <c r="I13" s="1372" t="s">
        <v>1616</v>
      </c>
      <c r="J13" s="1373" t="s">
        <v>1616</v>
      </c>
      <c r="K13" s="2809"/>
      <c r="L13" s="2809"/>
      <c r="M13" s="2809"/>
      <c r="N13" s="2809"/>
      <c r="O13" s="2809"/>
      <c r="P13" s="2041"/>
      <c r="Q13" s="2041"/>
      <c r="R13" s="2622">
        <v>12</v>
      </c>
      <c r="S13" s="2611"/>
      <c r="T13" s="2622">
        <f t="shared" ca="1" si="0"/>
        <v>0</v>
      </c>
      <c r="U13" s="2611"/>
      <c r="V13" s="2622">
        <f t="shared" ca="1" si="1"/>
        <v>0</v>
      </c>
      <c r="W13" s="3677"/>
      <c r="X13" s="2619"/>
      <c r="Y13" s="2618" t="e">
        <f>(-0.163*(Y12^2)-0.59*Y12+7617)*(10^(-4))/Y11</f>
        <v>#DIV/0!</v>
      </c>
      <c r="Z13" s="2618" t="e">
        <f t="shared" ref="Z13:AJ13" si="5">(-0.163*(Z12^2)-0.59*Z12+7617)*(10^(-4))/Z11</f>
        <v>#DIV/0!</v>
      </c>
      <c r="AA13" s="2618" t="e">
        <f t="shared" si="5"/>
        <v>#DIV/0!</v>
      </c>
      <c r="AB13" s="2618" t="e">
        <f t="shared" si="5"/>
        <v>#DIV/0!</v>
      </c>
      <c r="AC13" s="2618" t="e">
        <f t="shared" si="5"/>
        <v>#DIV/0!</v>
      </c>
      <c r="AD13" s="2618" t="e">
        <f t="shared" si="5"/>
        <v>#DIV/0!</v>
      </c>
      <c r="AE13" s="2618" t="e">
        <f t="shared" si="5"/>
        <v>#DIV/0!</v>
      </c>
      <c r="AF13" s="2618" t="e">
        <f t="shared" si="5"/>
        <v>#DIV/0!</v>
      </c>
      <c r="AG13" s="2618" t="e">
        <f t="shared" si="5"/>
        <v>#DIV/0!</v>
      </c>
      <c r="AH13" s="2618" t="e">
        <f t="shared" si="5"/>
        <v>#DIV/0!</v>
      </c>
      <c r="AI13" s="2618" t="e">
        <f t="shared" si="5"/>
        <v>#DIV/0!</v>
      </c>
      <c r="AJ13" s="2618" t="e">
        <f t="shared" si="5"/>
        <v>#DIV/0!</v>
      </c>
    </row>
    <row r="14" spans="1:39" ht="12.75" customHeight="1">
      <c r="A14" s="3693"/>
      <c r="B14" s="1374"/>
      <c r="C14" s="1375"/>
      <c r="D14" s="1376" t="s">
        <v>3129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694"/>
      <c r="B15" s="2814" t="s">
        <v>1674</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691" t="s">
        <v>1812</v>
      </c>
      <c r="B16" s="1350" t="s">
        <v>925</v>
      </c>
      <c r="C16" s="1021">
        <f>ROUND(IF(F17="与级别开发程度一致",0,(G17-E17)/C17),0)</f>
        <v>0</v>
      </c>
      <c r="D16" s="3685" t="s">
        <v>929</v>
      </c>
      <c r="E16" s="3686"/>
      <c r="F16" s="3685" t="s">
        <v>926</v>
      </c>
      <c r="G16" s="3686"/>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695"/>
      <c r="B17" s="2820" t="s">
        <v>928</v>
      </c>
      <c r="C17" s="2821">
        <f>SUMPRODUCT((修正!A2:A5=E2)*(修正!B1:M1=G2)*(修正!B2:M5))</f>
        <v>1.5</v>
      </c>
      <c r="D17" s="2822" t="str">
        <f>IF(OR(G2="八级",G2="九级",G2="十级",G2="十一级",G2="十二级"),"五通一平","七通一平")</f>
        <v>五通一平</v>
      </c>
      <c r="E17" s="2812">
        <f>SUMPRODUCT((修正!B1:M1=G2)*(修正!B15:M15))</f>
        <v>155</v>
      </c>
      <c r="F17" s="2813" t="s">
        <v>3130</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1803</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1809</v>
      </c>
      <c r="B19" s="1385" t="s">
        <v>931</v>
      </c>
      <c r="C19" s="1022">
        <f>ROUND(IF(H19="按公示增长率计算",SUMPRODUCT((地价!A3:A37=YEAR(G19)&amp;"-"&amp;ROUNDUP(MONTH(G19)/3,0))*(地价!X2:AB2=E2)*(地价!X3:AB37)),IF(H19="地价指数",M20/M19,(1+I19)^O19)),4)</f>
        <v>1.8006</v>
      </c>
      <c r="D19" s="1389" t="s">
        <v>932</v>
      </c>
      <c r="E19" s="1023">
        <v>41640</v>
      </c>
      <c r="F19" s="1389" t="s">
        <v>933</v>
      </c>
      <c r="G19" s="1024">
        <f>'数据-取费表'!B2</f>
        <v>44622</v>
      </c>
      <c r="H19" s="1390" t="s">
        <v>3131</v>
      </c>
      <c r="I19" s="2471" t="str">
        <f>IF(H19="季度增幅（自定义）",SUMIF(N21:N24,E2,O21:O24),"")</f>
        <v/>
      </c>
      <c r="J19" s="1386"/>
      <c r="K19" s="3199"/>
      <c r="L19" s="2719" t="s">
        <v>2789</v>
      </c>
      <c r="M19" s="2720">
        <f>ROUND(SUMIF(地价!B2:F2,E2,地价!B37:F37),0)</f>
        <v>423</v>
      </c>
      <c r="N19" s="2473" t="s">
        <v>1650</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1810</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v>70</v>
      </c>
      <c r="J20" s="2470">
        <f>IF(E2="住宅",70,IF(E2="商业",40,50))</f>
        <v>70</v>
      </c>
      <c r="K20" s="2810"/>
      <c r="L20" s="2721" t="s">
        <v>2790</v>
      </c>
      <c r="M20" s="2803">
        <f>ROUND(SUMPRODUCT((地价!A4:A37=YEAR(G19)&amp;"-"&amp;ROUNDUP(MONTH(G19)/3,0))*(地价!B2:F2=E2)*(地价!B4:F37)),0)</f>
        <v>737</v>
      </c>
      <c r="N20" s="2476" t="s">
        <v>2597</v>
      </c>
      <c r="O20" s="2474" t="s">
        <v>2596</v>
      </c>
      <c r="P20" s="2475" t="s">
        <v>2602</v>
      </c>
      <c r="Q20" s="2610"/>
      <c r="R20" s="2047"/>
      <c r="S20" s="2047"/>
      <c r="T20" s="2047"/>
      <c r="U20" s="2047"/>
      <c r="V20" s="2047"/>
      <c r="W20" s="2047"/>
      <c r="X20" s="2047"/>
      <c r="Y20" s="1387"/>
      <c r="Z20" s="1387"/>
      <c r="AA20" s="1387"/>
      <c r="AB20" s="1387"/>
      <c r="AC20" s="1387"/>
      <c r="AD20" s="1387"/>
    </row>
    <row r="21" spans="1:40" s="1344" customFormat="1" ht="14.25">
      <c r="A21" s="1544" t="s">
        <v>1811</v>
      </c>
      <c r="B21" s="1395" t="s">
        <v>3132</v>
      </c>
      <c r="C21" s="1123">
        <v>1</v>
      </c>
      <c r="D21" s="1396"/>
      <c r="E21" s="1396"/>
      <c r="F21" s="1396"/>
      <c r="G21" s="1396"/>
      <c r="H21" s="1396"/>
      <c r="I21" s="1396"/>
      <c r="J21" s="1397"/>
      <c r="K21" s="3199"/>
      <c r="L21" s="1396"/>
      <c r="M21" s="1396"/>
      <c r="N21" s="1393" t="s">
        <v>950</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1838</v>
      </c>
      <c r="B22" s="1398" t="s">
        <v>951</v>
      </c>
      <c r="C22" s="1025" t="s">
        <v>1676</v>
      </c>
      <c r="D22" s="1025">
        <f>IF(E22=G22,F22,IF(G3&lt;=10,ROUND(F22+(H22-F22)*(G3-E22)/(G22-E22),4),"——"))</f>
        <v>0</v>
      </c>
      <c r="E22" s="1008">
        <f>ROUNDDOWN(G3,1)</f>
        <v>0</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952</v>
      </c>
      <c r="J22" s="1025" t="str">
        <f>IF(G3&gt;10,D113,"——")</f>
        <v>——</v>
      </c>
      <c r="K22" s="3205"/>
      <c r="L22" s="1396"/>
      <c r="M22" s="1396"/>
      <c r="N22" s="1393" t="s">
        <v>953</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1839</v>
      </c>
      <c r="B23" s="1398" t="s">
        <v>954</v>
      </c>
      <c r="C23" s="1026" t="e">
        <f>ROUND(IF(G3&gt;1,IF(I3&lt;7,SUMPRODUCT((B93:B98=I3)*(C92:N92=G2)*(C93:N98)),SUMIF(C92:N92,G2,C100:N100)),IF(I3&lt;7,SUMPRODUCT((B102:B107=I3)*(C92:N92=G2)*(C102:N107)),SUMIF(C92:N92,G2,C109:N109))),4)</f>
        <v>#DIV/0!</v>
      </c>
      <c r="D23" s="1444"/>
      <c r="E23" s="1444"/>
      <c r="F23" s="1445"/>
      <c r="G23" s="1446"/>
      <c r="H23" s="1447"/>
      <c r="I23" s="1448"/>
      <c r="J23" s="1448"/>
      <c r="K23" s="3206"/>
      <c r="L23" s="1324"/>
      <c r="M23" s="1324"/>
      <c r="N23" s="1393" t="s">
        <v>898</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1840</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1841</v>
      </c>
      <c r="B25" s="1400" t="s">
        <v>957</v>
      </c>
      <c r="C25" s="1401"/>
      <c r="D25" s="1353"/>
      <c r="E25" s="1353"/>
      <c r="F25" s="1402"/>
      <c r="G25" s="1353"/>
      <c r="H25" s="1353"/>
      <c r="I25" s="1353"/>
      <c r="J25" s="1354"/>
      <c r="K25" s="3200"/>
      <c r="L25" s="2047"/>
      <c r="M25" s="2047"/>
      <c r="N25" s="2804" t="s">
        <v>2600</v>
      </c>
      <c r="O25" s="2805"/>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10933</v>
      </c>
      <c r="D29" s="1418"/>
      <c r="E29" s="1736">
        <f ca="1">ROUND(C29*D29/10000,0)</f>
        <v>0</v>
      </c>
      <c r="F29" s="1419" t="s">
        <v>1675</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2733</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687"/>
      <c r="B33" s="1438" t="s">
        <v>974</v>
      </c>
      <c r="C33" s="1028">
        <f ca="1">ROUND(D5*C19*C20*C24*F33,0)</f>
        <v>5964</v>
      </c>
      <c r="D33" s="1451"/>
      <c r="E33" s="1017">
        <f ca="1">ROUND(C33*D33/10000,0)</f>
        <v>0</v>
      </c>
      <c r="F33" s="1017">
        <f>SUMIF(修正!A45:A56,G2,修正!B45:B56)</f>
        <v>0.6</v>
      </c>
      <c r="G33" s="1017">
        <f t="shared" ref="G33" ca="1" si="6">ROUND(IF(E2="工业",C33*$M$39,C33*$M$38),0)</f>
        <v>1491</v>
      </c>
      <c r="H33" s="1017">
        <f>D33</f>
        <v>0</v>
      </c>
      <c r="I33" s="1017">
        <f ca="1">ROUND(G33*H33/10000,0)</f>
        <v>0</v>
      </c>
      <c r="J33" s="3687" t="s">
        <v>2959</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688"/>
      <c r="B34" s="1368" t="s">
        <v>975</v>
      </c>
      <c r="C34" s="1028">
        <f ca="1">ROUND(D5*C19*C20*C24*F34,0)</f>
        <v>2982</v>
      </c>
      <c r="D34" s="1451"/>
      <c r="E34" s="1017">
        <f t="shared" ref="E34:E39" ca="1" si="7">ROUND(C34*D34/10000,0)</f>
        <v>0</v>
      </c>
      <c r="F34" s="1017">
        <f>SUMIF(修正!A45:A56,G2,修正!C45:C56)</f>
        <v>0.3</v>
      </c>
      <c r="G34" s="1017">
        <f ca="1">ROUND(IF(E2="工业",C34*$M$39,C34*$M$38),0)</f>
        <v>746</v>
      </c>
      <c r="H34" s="1017">
        <f t="shared" ref="H34:H39" si="8">D34</f>
        <v>0</v>
      </c>
      <c r="I34" s="1017">
        <f t="shared" ref="I34:I39" ca="1" si="9">ROUND(G34*H34/10000,0)</f>
        <v>0</v>
      </c>
      <c r="J34" s="3688"/>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688"/>
      <c r="B35" s="1368" t="s">
        <v>976</v>
      </c>
      <c r="C35" s="1028">
        <f ca="1">ROUND(D5*C19*C20*C24*F35,0)</f>
        <v>1988</v>
      </c>
      <c r="D35" s="1451"/>
      <c r="E35" s="1017">
        <f t="shared" ca="1" si="7"/>
        <v>0</v>
      </c>
      <c r="F35" s="1017">
        <f>SUMIF(修正!A45:A56,G2,修正!D45:D56)</f>
        <v>0.2</v>
      </c>
      <c r="G35" s="1017">
        <f ca="1">ROUND(IF(E2="工业",C35*$M$39,C35*$M$38),0)</f>
        <v>497</v>
      </c>
      <c r="H35" s="1017">
        <f t="shared" si="8"/>
        <v>0</v>
      </c>
      <c r="I35" s="1017">
        <f t="shared" ca="1" si="9"/>
        <v>0</v>
      </c>
      <c r="J35" s="3688"/>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689"/>
      <c r="B36" s="1368" t="s">
        <v>977</v>
      </c>
      <c r="C36" s="1028">
        <f ca="1">ROUND(D5*C19*C20*C24*F36,0)</f>
        <v>1988</v>
      </c>
      <c r="D36" s="1451"/>
      <c r="E36" s="1017">
        <f t="shared" ca="1" si="7"/>
        <v>0</v>
      </c>
      <c r="F36" s="1017">
        <f>SUMIF(修正!A45:A56,G2,修正!E45:E56)</f>
        <v>0.2</v>
      </c>
      <c r="G36" s="1017">
        <f ca="1">ROUND(IF(E2="工业",C36*$M$39,C36*$M$38),0)</f>
        <v>497</v>
      </c>
      <c r="H36" s="1017">
        <f t="shared" si="8"/>
        <v>0</v>
      </c>
      <c r="I36" s="1017">
        <f t="shared" ca="1" si="9"/>
        <v>0</v>
      </c>
      <c r="J36" s="3689"/>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1988</v>
      </c>
      <c r="D37" s="1451"/>
      <c r="E37" s="1017">
        <f t="shared" ca="1" si="7"/>
        <v>0</v>
      </c>
      <c r="F37" s="1028">
        <f>SUMIF(修正!A45:A56,G2,修正!F45:F56)</f>
        <v>0.2</v>
      </c>
      <c r="G37" s="1017">
        <f ca="1">ROUND(IF(E2="工业",C37*$M$39,C37*$M$38),0)</f>
        <v>497</v>
      </c>
      <c r="H37" s="1017">
        <f t="shared" si="8"/>
        <v>0</v>
      </c>
      <c r="I37" s="1017">
        <f t="shared" ca="1" si="9"/>
        <v>0</v>
      </c>
      <c r="J37" s="1439"/>
      <c r="K37" s="2041"/>
      <c r="L37" s="1457" t="s">
        <v>1677</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1679</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1678</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2917</v>
      </c>
      <c r="C41" s="810">
        <f ca="1">ROUND(POWER(1+E41,H41-G41)*(POWER(1+E41,G41)-1)/(POWER(1+E41,H41)-1),4)</f>
        <v>0</v>
      </c>
      <c r="D41" s="372" t="s">
        <v>2915</v>
      </c>
      <c r="E41" s="2798">
        <f ca="1">G20</f>
        <v>0.05</v>
      </c>
      <c r="F41" s="372" t="s">
        <v>2916</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2216</v>
      </c>
      <c r="G46" s="2257" t="s">
        <v>989</v>
      </c>
      <c r="H46" s="2240" t="s">
        <v>2379</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2874</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2873</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2379</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2873</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2218</v>
      </c>
      <c r="G68" s="2257" t="s">
        <v>989</v>
      </c>
      <c r="H68" s="2240" t="s">
        <v>2379</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0.15</v>
      </c>
      <c r="G69" s="2244"/>
      <c r="H69" s="2287">
        <f t="shared" ref="H69:H77" si="21">IFERROR(ROUNDDOWN($F$69*I69/2,4),"——")</f>
        <v>1.0500000000000001E-2</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2.2499999999999999E-2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f t="shared" si="21"/>
        <v>6.0000000000000001E-3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f t="shared" si="21"/>
        <v>3.0000000000000001E-3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f t="shared" si="21"/>
        <v>6.0000000000000001E-3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f t="shared" si="21"/>
        <v>8.9999999999999993E-3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2873</v>
      </c>
      <c r="C75" s="1124"/>
      <c r="D75" s="2243">
        <f t="shared" si="20"/>
        <v>0</v>
      </c>
      <c r="E75" s="2271"/>
      <c r="F75" s="2272"/>
      <c r="G75" s="2244"/>
      <c r="H75" s="2287">
        <f t="shared" si="21"/>
        <v>3.7000000000000002E-3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f t="shared" si="21"/>
        <v>1.12E-2</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f t="shared" si="21"/>
        <v>3.0000000000000001E-3</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2219</v>
      </c>
      <c r="G79" s="2257" t="s">
        <v>989</v>
      </c>
      <c r="H79" s="2240" t="s">
        <v>2379</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2873</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696" t="s">
        <v>1608</v>
      </c>
      <c r="B90" s="3696"/>
      <c r="C90" s="3696"/>
      <c r="D90" s="3696"/>
      <c r="E90" s="3696"/>
      <c r="F90" s="3696"/>
      <c r="G90" s="3696"/>
      <c r="H90" s="3696"/>
      <c r="I90" s="3696"/>
      <c r="J90" s="3696"/>
      <c r="K90" s="3444"/>
      <c r="L90" s="3444"/>
      <c r="M90" s="3444"/>
      <c r="N90" s="3444"/>
    </row>
    <row r="91" spans="1:40">
      <c r="A91" s="3697" t="s">
        <v>1418</v>
      </c>
      <c r="B91" s="3697" t="s">
        <v>1609</v>
      </c>
      <c r="C91" s="1105" t="s">
        <v>1610</v>
      </c>
      <c r="D91" s="1106"/>
      <c r="E91" s="1106"/>
      <c r="F91" s="1106"/>
      <c r="G91" s="1106"/>
      <c r="H91" s="1106"/>
      <c r="I91" s="1106"/>
      <c r="J91" s="1107"/>
      <c r="K91" s="1099"/>
      <c r="L91" s="1099"/>
      <c r="M91" s="1099"/>
      <c r="N91" s="1099"/>
    </row>
    <row r="92" spans="1:40">
      <c r="A92" s="3697"/>
      <c r="B92" s="3697"/>
      <c r="C92" s="3445" t="s">
        <v>882</v>
      </c>
      <c r="D92" s="3445" t="s">
        <v>860</v>
      </c>
      <c r="E92" s="3445" t="s">
        <v>861</v>
      </c>
      <c r="F92" s="3445" t="s">
        <v>885</v>
      </c>
      <c r="G92" s="3445" t="s">
        <v>863</v>
      </c>
      <c r="H92" s="3445" t="s">
        <v>864</v>
      </c>
      <c r="I92" s="3445" t="s">
        <v>865</v>
      </c>
      <c r="J92" s="3445" t="s">
        <v>866</v>
      </c>
      <c r="K92" s="3445" t="s">
        <v>890</v>
      </c>
      <c r="L92" s="3445" t="s">
        <v>868</v>
      </c>
      <c r="M92" s="3445" t="s">
        <v>869</v>
      </c>
      <c r="N92" s="3445" t="s">
        <v>893</v>
      </c>
    </row>
    <row r="93" spans="1:40">
      <c r="A93" s="3680" t="s">
        <v>2715</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8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8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8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8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8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8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68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680" t="s">
        <v>1612</v>
      </c>
      <c r="B101" s="1112" t="s">
        <v>881</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81"/>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81"/>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81"/>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81"/>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81"/>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81"/>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81"/>
      <c r="B108" s="368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682"/>
      <c r="B109" s="3684"/>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90" t="s">
        <v>1614</v>
      </c>
      <c r="B110" s="3690"/>
      <c r="C110" s="3690"/>
      <c r="D110" s="3690"/>
      <c r="E110" s="3690"/>
      <c r="F110" s="3690"/>
      <c r="G110" s="3690"/>
      <c r="H110" s="3690"/>
      <c r="I110" s="3690"/>
      <c r="J110" s="3690"/>
      <c r="K110" s="3443"/>
      <c r="L110" s="3443"/>
      <c r="M110" s="3443"/>
      <c r="N110" s="3443"/>
    </row>
    <row r="112" spans="1:14" ht="12.75" thickBot="1"/>
    <row r="113" spans="1:13" ht="25.5" thickBot="1">
      <c r="A113" s="985" t="s">
        <v>871</v>
      </c>
      <c r="B113" s="2277">
        <f>G3</f>
        <v>0</v>
      </c>
      <c r="C113" s="986" t="s">
        <v>872</v>
      </c>
      <c r="D113" s="987">
        <f>SUMPRODUCT((A115:A118=F113)*(B114:M114=H113)*B115:M118)</f>
        <v>0.74119999999999997</v>
      </c>
      <c r="E113" s="988" t="s">
        <v>873</v>
      </c>
      <c r="F113" s="989" t="str">
        <f>E2</f>
        <v>住宅</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876</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877</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878</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7:A11"/>
    <mergeCell ref="W8:X8"/>
    <mergeCell ref="W9:W10"/>
    <mergeCell ref="W11:W13"/>
    <mergeCell ref="A12:A15"/>
    <mergeCell ref="A16:A17"/>
    <mergeCell ref="D16:E16"/>
    <mergeCell ref="F16:G16"/>
  </mergeCells>
  <phoneticPr fontId="225"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C22" sqref="C2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1668</v>
      </c>
      <c r="B1" s="1323"/>
      <c r="C1" s="1329" t="s">
        <v>2387</v>
      </c>
      <c r="D1" s="1435">
        <f>SUM(D29:D30,D33:D39)</f>
        <v>0</v>
      </c>
      <c r="E1" s="1329" t="s">
        <v>2388</v>
      </c>
      <c r="F1" s="2278"/>
      <c r="G1" s="1324"/>
      <c r="H1" s="1324"/>
      <c r="I1" s="1324"/>
      <c r="J1" s="1324"/>
      <c r="K1" s="2041"/>
      <c r="L1" s="1769" t="s">
        <v>2204</v>
      </c>
      <c r="M1" s="1770">
        <f>SUMPRODUCT((区片价!B5:B9=I2)*(区片价!C3:F3=E2)*(区片价!C5:F9))</f>
        <v>0</v>
      </c>
      <c r="N1" s="1771">
        <f>SUMPRODUCT((因素修正幅度!B5:B9=I2)*(因素修正幅度!C3:F3=E2)*(因素修正幅度!C5:F9))</f>
        <v>0</v>
      </c>
      <c r="O1" s="2041"/>
      <c r="P1" s="2041"/>
      <c r="Q1" s="2041"/>
      <c r="R1" s="2621" t="s">
        <v>2713</v>
      </c>
      <c r="S1" s="2621" t="s">
        <v>2714</v>
      </c>
      <c r="T1" s="2621" t="s">
        <v>2735</v>
      </c>
      <c r="U1" s="2621" t="s">
        <v>2736</v>
      </c>
      <c r="V1" s="2621" t="s">
        <v>2737</v>
      </c>
      <c r="W1" s="2041"/>
      <c r="X1" s="2041"/>
      <c r="Y1" s="2041"/>
      <c r="Z1" s="2041"/>
      <c r="AA1" s="2041"/>
      <c r="AB1" s="2041"/>
      <c r="AC1" s="2042"/>
    </row>
    <row r="2" spans="1:39" ht="15.75">
      <c r="A2" s="1329" t="s">
        <v>895</v>
      </c>
      <c r="B2" s="1007">
        <f ca="1">C26</f>
        <v>0</v>
      </c>
      <c r="C2" s="1330" t="s">
        <v>896</v>
      </c>
      <c r="D2" s="1331" t="s">
        <v>897</v>
      </c>
      <c r="E2" s="1332" t="s">
        <v>3133</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Ⅷ-通1</v>
      </c>
      <c r="J2" s="1333"/>
      <c r="K2" s="3197"/>
      <c r="L2" s="1772" t="s">
        <v>2205</v>
      </c>
      <c r="M2" s="1773">
        <f>SUMPRODUCT((区片价!B10:B28=I2)*(区片价!C3:F3=E2)*(区片价!C10:F28))</f>
        <v>0</v>
      </c>
      <c r="N2" s="1774">
        <f>SUMPRODUCT((因素修正幅度!B10:B28=I2)*(因素修正幅度!C3:F3=E2)*(因素修正幅度!C10:F28))</f>
        <v>0</v>
      </c>
      <c r="O2" s="3197"/>
      <c r="P2" s="2041"/>
      <c r="Q2" s="2041"/>
      <c r="R2" s="2622">
        <v>1</v>
      </c>
      <c r="S2" s="2622" t="e">
        <f>ROUND(IF(G3&gt;1,IF(R2&lt;7,SUMPRODUCT((B93:B98=R2)*(C92:N92=G2)*(C93:N98)),SUMIF(C92:N92,G2,C100:N100)),IF(R2&lt;7,SUMPRODUCT((B102:B107=R2)*(C92:N92=G2)*(C102:N107)),SUMIF(C92:N92,G2,C109:N109))),4)</f>
        <v>#DIV/0!</v>
      </c>
      <c r="T2" s="2622" t="e">
        <f ca="1">ROUND($C$5*$C$18*$C$19*$C$20*S2*$C$24,0)</f>
        <v>#DIV/0!</v>
      </c>
      <c r="U2" s="2611"/>
      <c r="V2" s="2622" t="e">
        <f ca="1">ROUND(T2*U2/10000,0)</f>
        <v>#DIV/0!</v>
      </c>
      <c r="W2" s="2041"/>
      <c r="X2" s="2041"/>
      <c r="Y2" s="2041"/>
      <c r="Z2" s="2041"/>
      <c r="AA2" s="2041"/>
      <c r="AB2" s="2041"/>
      <c r="AC2" s="2042"/>
    </row>
    <row r="3" spans="1:39" ht="15.75">
      <c r="A3" s="1334" t="s">
        <v>1661</v>
      </c>
      <c r="B3" s="1007" t="e">
        <f ca="1">ROUND(B2*10000/D1,0)</f>
        <v>#DIV/0!</v>
      </c>
      <c r="C3" s="1330" t="s">
        <v>902</v>
      </c>
      <c r="D3" s="1331" t="s">
        <v>903</v>
      </c>
      <c r="E3" s="1335" t="s">
        <v>3134</v>
      </c>
      <c r="F3" s="1336"/>
      <c r="G3" s="1008">
        <f>IF(F3="宗地容积率",'数据-汇总表'!I4,IF(F3="估价对象容积率",'数据-汇总表'!I6,'数据-汇总表'!I7))</f>
        <v>0</v>
      </c>
      <c r="H3" s="1337" t="s">
        <v>904</v>
      </c>
      <c r="I3" s="1009"/>
      <c r="J3" s="1333" t="s">
        <v>905</v>
      </c>
      <c r="K3" s="3197"/>
      <c r="L3" s="1772" t="s">
        <v>2206</v>
      </c>
      <c r="M3" s="1773">
        <f>SUMPRODUCT((区片价!B29:B48=I2)*(区片价!C3:F3=E2)*(区片价!C29:F48))</f>
        <v>0</v>
      </c>
      <c r="N3" s="1774">
        <f>SUMPRODUCT((因素修正幅度!B29:B48=I2)*(因素修正幅度!C3:F3=E2)*(因素修正幅度!C29:F48))</f>
        <v>0</v>
      </c>
      <c r="O3" s="3197"/>
      <c r="P3" s="2041"/>
      <c r="Q3" s="2041"/>
      <c r="R3" s="2622">
        <v>2</v>
      </c>
      <c r="S3" s="2622" t="e">
        <f>ROUND(IF(G3&gt;1,IF(R3&lt;7,SUMPRODUCT((B93:B98=R3)*(C92:N92=G2)*(C93:N98)),SUMIF(C92:N92,G2,C100:N100)),IF(R3&lt;7,SUMPRODUCT((B102:B107=R3)*(C92:N92=G2)*(C102:N107)),SUMIF(C92:N92,G2,C109:N109))),4)</f>
        <v>#DIV/0!</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2245</v>
      </c>
      <c r="B4" s="2279" t="e">
        <f ca="1">ROUND(B2*10000/F1,0)</f>
        <v>#DIV/0!</v>
      </c>
      <c r="C4" s="1781" t="s">
        <v>2220</v>
      </c>
      <c r="D4" s="1781" t="e">
        <f ca="1">ROUND(B2/(F1/666.67),0)</f>
        <v>#DIV/0!</v>
      </c>
      <c r="E4" s="1781" t="s">
        <v>2221</v>
      </c>
      <c r="F4" s="1779"/>
      <c r="G4" s="1779"/>
      <c r="H4" s="1779"/>
      <c r="I4" s="1779"/>
      <c r="J4" s="1780"/>
      <c r="K4" s="3198"/>
      <c r="L4" s="1772" t="s">
        <v>2207</v>
      </c>
      <c r="M4" s="1773">
        <f>SUMPRODUCT((区片价!B49:B75=I2)*(区片价!C3:F3=E2)*(区片价!C49:F75))</f>
        <v>0</v>
      </c>
      <c r="N4" s="1774">
        <f>SUMPRODUCT((因素修正幅度!B49:B75=I2)*(因素修正幅度!C3:F3=E2)*(因素修正幅度!C49:F75))</f>
        <v>0</v>
      </c>
      <c r="O4" s="3198"/>
      <c r="P4" s="2041"/>
      <c r="Q4" s="2041"/>
      <c r="R4" s="2622">
        <v>3</v>
      </c>
      <c r="S4" s="2622" t="e">
        <f>ROUND(IF(G3&gt;1,IF(R4&lt;7,SUMPRODUCT((B93:B98=R4)*(C92:N92=G2)*(C93:N98)),SUMIF(C92:N92,G2,C100:N100)),IF(R4&lt;7,SUMPRODUCT((B102:B107=R4)*(C92:N92=G2)*(C102:N107)),SUMIF(C92:N92,G2,C109:N109))),4)</f>
        <v>#DIV/0!</v>
      </c>
      <c r="T4" s="2622" t="e">
        <f t="shared" ca="1" si="0"/>
        <v>#DIV/0!</v>
      </c>
      <c r="U4" s="2611"/>
      <c r="V4" s="2622" t="e">
        <f t="shared" ca="1" si="1"/>
        <v>#DIV/0!</v>
      </c>
      <c r="W4" s="2041"/>
      <c r="X4" s="2041"/>
      <c r="Y4" s="2041"/>
      <c r="Z4" s="2041"/>
      <c r="AA4" s="2041"/>
      <c r="AB4" s="2041"/>
      <c r="AC4" s="2042"/>
    </row>
    <row r="5" spans="1:39" s="1344" customFormat="1" ht="15.75" thickBot="1">
      <c r="A5" s="1540" t="s">
        <v>1797</v>
      </c>
      <c r="B5" s="1338" t="s">
        <v>906</v>
      </c>
      <c r="C5" s="1010">
        <f>ROUND(IF(E2="商业",C6*C7+C16,(IF(E2="住宅",C6*C12+C16,C6+C16))),0)</f>
        <v>5280</v>
      </c>
      <c r="D5" s="2759">
        <f>ROUND(C6+C16,0)</f>
        <v>5280</v>
      </c>
      <c r="E5" s="2759"/>
      <c r="F5" s="1339"/>
      <c r="G5" s="1340"/>
      <c r="H5" s="1340"/>
      <c r="I5" s="1340"/>
      <c r="J5" s="1341"/>
      <c r="K5" s="3199"/>
      <c r="L5" s="1772" t="s">
        <v>2208</v>
      </c>
      <c r="M5" s="1773">
        <f>SUMPRODUCT((区片价!B76:B109=I2)*(区片价!C3:F3=E2)*(区片价!C76:F109))</f>
        <v>0</v>
      </c>
      <c r="N5" s="1774">
        <f>SUMPRODUCT((因素修正幅度!B76:B109=I2)*(因素修正幅度!C3:F3=E2)*(因素修正幅度!C76:F109))</f>
        <v>0</v>
      </c>
      <c r="O5" s="3199"/>
      <c r="P5" s="3202"/>
      <c r="Q5" s="2041"/>
      <c r="R5" s="2622">
        <v>4</v>
      </c>
      <c r="S5" s="2622" t="e">
        <f>ROUND(IF(G3&gt;1,IF(R5&lt;7,SUMPRODUCT((B93:B98=R5)*(C92:N92=G2)*(C93:N98)),SUMIF(C92:N92,G2,C100:N100)),IF(R5&lt;7,SUMPRODUCT((B102:B107=R5)*(C92:N92=G2)*(C102:N107)),SUMIF(C92:N92,G2,C109:N109))),4)</f>
        <v>#DIV/0!</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1838</v>
      </c>
      <c r="B6" s="1345" t="s">
        <v>906</v>
      </c>
      <c r="C6" s="1011">
        <f>SUMIF(L1:L12,基准地价商业!G2,M1:M12)</f>
        <v>5280</v>
      </c>
      <c r="D6" s="1346" t="s">
        <v>1669</v>
      </c>
      <c r="E6" s="1347"/>
      <c r="F6" s="1347"/>
      <c r="G6" s="1348"/>
      <c r="H6" s="1348"/>
      <c r="I6" s="1348"/>
      <c r="J6" s="1349"/>
      <c r="K6" s="3200"/>
      <c r="L6" s="1772" t="s">
        <v>2209</v>
      </c>
      <c r="M6" s="1773">
        <f>SUMPRODUCT((区片价!B110:B157=I2)*(区片价!C3:F3=E2)*(区片价!C110:F157))</f>
        <v>0</v>
      </c>
      <c r="N6" s="1774">
        <f>SUMPRODUCT((因素修正幅度!B110:B157=I2)*(因素修正幅度!C3:F3=E2)*(因素修正幅度!C110:F157))</f>
        <v>0</v>
      </c>
      <c r="O6" s="3200"/>
      <c r="P6" s="3203"/>
      <c r="Q6" s="2041"/>
      <c r="R6" s="2622">
        <v>5</v>
      </c>
      <c r="S6" s="2622" t="e">
        <f>ROUND(IF(G3&gt;1,IF(R6&lt;7,SUMPRODUCT((B93:B98=R6)*(C92:N92=G2)*(C93:N98)),SUMIF(C92:N92,G2,C100:N100)),IF(R6&lt;7,SUMPRODUCT((B102:B107=R6)*(C92:N92=G2)*(C102:N107)),SUMIF(C92:N92,G2,C109:N109))),4)</f>
        <v>#DIV/0!</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3691" t="str">
        <f>IF(E2="商业",IF(C8="不临58条商业街","",2),"")</f>
        <v/>
      </c>
      <c r="B7" s="1350" t="s">
        <v>907</v>
      </c>
      <c r="C7" s="1012">
        <f>IF(C8="不临58条商业街",1,ROUND(1+(1.6*E8+1.2*E9+0.8*E10+0.4*E11)*C9,4))</f>
        <v>1</v>
      </c>
      <c r="D7" s="1351" t="s">
        <v>908</v>
      </c>
      <c r="E7" s="1013"/>
      <c r="F7" s="1352"/>
      <c r="G7" s="1353"/>
      <c r="H7" s="1353"/>
      <c r="I7" s="1353"/>
      <c r="J7" s="1354"/>
      <c r="K7" s="3200"/>
      <c r="L7" s="1772" t="s">
        <v>2210</v>
      </c>
      <c r="M7" s="1773">
        <f>SUMPRODUCT((区片价!B158:B205=I2)*(区片价!C3:F3=E2)*(区片价!C158:F205))</f>
        <v>0</v>
      </c>
      <c r="N7" s="1774">
        <f>SUMPRODUCT((因素修正幅度!B158:B205=I2)*(因素修正幅度!C3:F3=E2)*(因素修正幅度!C158:F205))</f>
        <v>0</v>
      </c>
      <c r="O7" s="3200"/>
      <c r="P7" s="3203"/>
      <c r="Q7" s="2041"/>
      <c r="R7" s="2622">
        <v>6</v>
      </c>
      <c r="S7" s="2622" t="e">
        <f>ROUND(IF(G3&gt;1,IF(R7&lt;7,SUMPRODUCT((B93:B98=R7)*(C92:N92=G2)*(C93:N98)),SUMIF(C92:N92,G2,C100:N100)),IF(R7&lt;7,SUMPRODUCT((B102:B107=R7)*(C92:N92=G2)*(C102:N107)),SUMIF(C92:N92,G2,C109:N109))),4)</f>
        <v>#DIV/0!</v>
      </c>
      <c r="T7" s="2622" t="e">
        <f t="shared" ca="1" si="0"/>
        <v>#DIV/0!</v>
      </c>
      <c r="U7" s="2611"/>
      <c r="V7" s="2622" t="e">
        <f t="shared" ca="1" si="1"/>
        <v>#DIV/0!</v>
      </c>
      <c r="W7" s="3446" t="s">
        <v>2716</v>
      </c>
      <c r="X7" s="2612" t="str">
        <f>G2</f>
        <v>八级</v>
      </c>
      <c r="Y7" s="2612" t="s">
        <v>2717</v>
      </c>
      <c r="Z7" s="2613">
        <f>G3</f>
        <v>0</v>
      </c>
      <c r="AA7" s="2044"/>
      <c r="AB7" s="2044"/>
      <c r="AC7" s="2045"/>
      <c r="AD7" s="2614"/>
      <c r="AE7" s="2614"/>
      <c r="AF7" s="2614"/>
      <c r="AG7" s="2614"/>
      <c r="AH7" s="2614"/>
      <c r="AI7" s="2614"/>
      <c r="AJ7" s="2615"/>
    </row>
    <row r="8" spans="1:39" ht="25.5">
      <c r="A8" s="3692"/>
      <c r="B8" s="1337" t="s">
        <v>909</v>
      </c>
      <c r="C8" s="1443" t="s">
        <v>3135</v>
      </c>
      <c r="D8" s="1014" t="s">
        <v>910</v>
      </c>
      <c r="E8" s="1015" t="e">
        <f>ROUND(C11/E7,4)</f>
        <v>#DIV/0!</v>
      </c>
      <c r="F8" s="1355" t="s">
        <v>911</v>
      </c>
      <c r="G8" s="1356"/>
      <c r="H8" s="1356"/>
      <c r="I8" s="1356"/>
      <c r="J8" s="1357"/>
      <c r="K8" s="3200"/>
      <c r="L8" s="1772" t="s">
        <v>2211</v>
      </c>
      <c r="M8" s="1773">
        <f>SUMPRODUCT((区片价!B206:B244=I2)*(区片价!C3:F3=E2)*(区片价!C206:F244))</f>
        <v>5280</v>
      </c>
      <c r="N8" s="1774">
        <f>SUMPRODUCT((因素修正幅度!B206:B244=I2)*(因素修正幅度!C3:F3=E2)*(因素修正幅度!C206:F244))</f>
        <v>0.15</v>
      </c>
      <c r="O8" s="3200"/>
      <c r="P8" s="2041"/>
      <c r="Q8" s="2041"/>
      <c r="R8" s="2622">
        <v>7</v>
      </c>
      <c r="S8" s="2611"/>
      <c r="T8" s="2622">
        <f t="shared" ca="1" si="0"/>
        <v>0</v>
      </c>
      <c r="U8" s="2611"/>
      <c r="V8" s="2622">
        <f t="shared" ca="1" si="1"/>
        <v>0</v>
      </c>
      <c r="W8" s="3678" t="s">
        <v>2734</v>
      </c>
      <c r="X8" s="3679"/>
      <c r="Y8" s="1736" t="s">
        <v>2718</v>
      </c>
      <c r="Z8" s="1736" t="s">
        <v>2719</v>
      </c>
      <c r="AA8" s="1736" t="s">
        <v>2720</v>
      </c>
      <c r="AB8" s="1736" t="s">
        <v>2721</v>
      </c>
      <c r="AC8" s="1736" t="s">
        <v>2722</v>
      </c>
      <c r="AD8" s="1736" t="s">
        <v>2723</v>
      </c>
      <c r="AE8" s="1736" t="s">
        <v>2724</v>
      </c>
      <c r="AF8" s="1736" t="s">
        <v>2725</v>
      </c>
      <c r="AG8" s="1736" t="s">
        <v>2726</v>
      </c>
      <c r="AH8" s="1736" t="s">
        <v>2727</v>
      </c>
      <c r="AI8" s="1736" t="s">
        <v>2728</v>
      </c>
      <c r="AJ8" s="1736" t="s">
        <v>2729</v>
      </c>
    </row>
    <row r="9" spans="1:39" ht="15">
      <c r="A9" s="3692"/>
      <c r="B9" s="1337" t="s">
        <v>912</v>
      </c>
      <c r="C9" s="1016">
        <f>SUMIF(修正!C59:C119,C8,修正!E59:E119)</f>
        <v>0</v>
      </c>
      <c r="D9" s="1017" t="s">
        <v>913</v>
      </c>
      <c r="E9" s="1017" t="e">
        <f>ROUND(C11/E7,4)</f>
        <v>#DIV/0!</v>
      </c>
      <c r="F9" s="1355" t="s">
        <v>914</v>
      </c>
      <c r="G9" s="1356"/>
      <c r="H9" s="1356"/>
      <c r="I9" s="1356"/>
      <c r="J9" s="1357"/>
      <c r="K9" s="3200"/>
      <c r="L9" s="1772" t="s">
        <v>2212</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677" t="s">
        <v>2730</v>
      </c>
      <c r="X9" s="2616" t="s">
        <v>2731</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692"/>
      <c r="B10" s="1337" t="s">
        <v>915</v>
      </c>
      <c r="C10" s="1017">
        <f>SUMIF(修正!C59:C119,C8,修正!F59:F119)</f>
        <v>0</v>
      </c>
      <c r="D10" s="1017" t="s">
        <v>916</v>
      </c>
      <c r="E10" s="1017" t="e">
        <f>ROUND(C11/E7,4)</f>
        <v>#DIV/0!</v>
      </c>
      <c r="F10" s="1355" t="s">
        <v>917</v>
      </c>
      <c r="G10" s="1356"/>
      <c r="H10" s="1356"/>
      <c r="I10" s="1356"/>
      <c r="J10" s="1357"/>
      <c r="K10" s="3200"/>
      <c r="L10" s="1772" t="s">
        <v>2213</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67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692"/>
      <c r="B11" s="1358" t="s">
        <v>918</v>
      </c>
      <c r="C11" s="1018">
        <f>C10/4</f>
        <v>0</v>
      </c>
      <c r="D11" s="1018" t="s">
        <v>919</v>
      </c>
      <c r="E11" s="1018" t="e">
        <f>ROUND(C11/E7,4)</f>
        <v>#DIV/0!</v>
      </c>
      <c r="F11" s="1359" t="s">
        <v>920</v>
      </c>
      <c r="G11" s="1360"/>
      <c r="H11" s="1360"/>
      <c r="I11" s="1360"/>
      <c r="J11" s="1361"/>
      <c r="K11" s="3200"/>
      <c r="L11" s="1772" t="s">
        <v>2214</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677" t="s">
        <v>2732</v>
      </c>
      <c r="X11" s="1017" t="s">
        <v>2717</v>
      </c>
      <c r="Y11" s="1555">
        <f>$G$3</f>
        <v>0</v>
      </c>
      <c r="Z11" s="1555">
        <f t="shared" ref="Z11:AJ11" si="3">$G$3</f>
        <v>0</v>
      </c>
      <c r="AA11" s="1555">
        <f t="shared" si="3"/>
        <v>0</v>
      </c>
      <c r="AB11" s="1555">
        <f t="shared" si="3"/>
        <v>0</v>
      </c>
      <c r="AC11" s="1555">
        <f t="shared" si="3"/>
        <v>0</v>
      </c>
      <c r="AD11" s="1555">
        <f t="shared" si="3"/>
        <v>0</v>
      </c>
      <c r="AE11" s="1555">
        <f t="shared" si="3"/>
        <v>0</v>
      </c>
      <c r="AF11" s="1555">
        <f t="shared" si="3"/>
        <v>0</v>
      </c>
      <c r="AG11" s="1555">
        <f t="shared" si="3"/>
        <v>0</v>
      </c>
      <c r="AH11" s="1555">
        <f t="shared" si="3"/>
        <v>0</v>
      </c>
      <c r="AI11" s="1555">
        <f t="shared" si="3"/>
        <v>0</v>
      </c>
      <c r="AJ11" s="1555">
        <f t="shared" si="3"/>
        <v>0</v>
      </c>
    </row>
    <row r="12" spans="1:39" ht="25.5" thickBot="1">
      <c r="A12" s="3691" t="s">
        <v>1839</v>
      </c>
      <c r="B12" s="1362" t="s">
        <v>921</v>
      </c>
      <c r="C12" s="1012">
        <f>ROUND(C15*D15*E15*F15*G15*H15*I15*J15,4)</f>
        <v>1</v>
      </c>
      <c r="D12" s="1363" t="s">
        <v>922</v>
      </c>
      <c r="E12" s="1364"/>
      <c r="F12" s="1364"/>
      <c r="G12" s="1365"/>
      <c r="H12" s="1365"/>
      <c r="I12" s="1365"/>
      <c r="J12" s="1366"/>
      <c r="K12" s="3200"/>
      <c r="L12" s="1775" t="s">
        <v>2215</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677"/>
      <c r="X12" s="2619" t="s">
        <v>2733</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693"/>
      <c r="B13" s="1367" t="s">
        <v>1670</v>
      </c>
      <c r="C13" s="1368" t="s">
        <v>1671</v>
      </c>
      <c r="D13" s="1054" t="s">
        <v>1672</v>
      </c>
      <c r="E13" s="1054" t="s">
        <v>1673</v>
      </c>
      <c r="F13" s="1369" t="s">
        <v>923</v>
      </c>
      <c r="G13" s="1370" t="s">
        <v>1616</v>
      </c>
      <c r="H13" s="1371" t="s">
        <v>1616</v>
      </c>
      <c r="I13" s="1372" t="s">
        <v>1616</v>
      </c>
      <c r="J13" s="1373" t="s">
        <v>1616</v>
      </c>
      <c r="K13" s="2809"/>
      <c r="L13" s="2809"/>
      <c r="M13" s="2809"/>
      <c r="N13" s="2809"/>
      <c r="O13" s="2809"/>
      <c r="P13" s="2041"/>
      <c r="Q13" s="2041"/>
      <c r="R13" s="2622">
        <v>12</v>
      </c>
      <c r="S13" s="2611"/>
      <c r="T13" s="2622">
        <f t="shared" ca="1" si="0"/>
        <v>0</v>
      </c>
      <c r="U13" s="2611"/>
      <c r="V13" s="2622">
        <f t="shared" ca="1" si="1"/>
        <v>0</v>
      </c>
      <c r="W13" s="3677"/>
      <c r="X13" s="2619"/>
      <c r="Y13" s="2618" t="e">
        <f>(-0.163*(Y12^2)-0.59*Y12+7617)*(10^(-4))/Y11</f>
        <v>#DIV/0!</v>
      </c>
      <c r="Z13" s="2618" t="e">
        <f t="shared" ref="Z13:AJ13" si="5">(-0.163*(Z12^2)-0.59*Z12+7617)*(10^(-4))/Z11</f>
        <v>#DIV/0!</v>
      </c>
      <c r="AA13" s="2618" t="e">
        <f t="shared" si="5"/>
        <v>#DIV/0!</v>
      </c>
      <c r="AB13" s="2618" t="e">
        <f t="shared" si="5"/>
        <v>#DIV/0!</v>
      </c>
      <c r="AC13" s="2618" t="e">
        <f t="shared" si="5"/>
        <v>#DIV/0!</v>
      </c>
      <c r="AD13" s="2618" t="e">
        <f t="shared" si="5"/>
        <v>#DIV/0!</v>
      </c>
      <c r="AE13" s="2618" t="e">
        <f t="shared" si="5"/>
        <v>#DIV/0!</v>
      </c>
      <c r="AF13" s="2618" t="e">
        <f t="shared" si="5"/>
        <v>#DIV/0!</v>
      </c>
      <c r="AG13" s="2618" t="e">
        <f t="shared" si="5"/>
        <v>#DIV/0!</v>
      </c>
      <c r="AH13" s="2618" t="e">
        <f t="shared" si="5"/>
        <v>#DIV/0!</v>
      </c>
      <c r="AI13" s="2618" t="e">
        <f t="shared" si="5"/>
        <v>#DIV/0!</v>
      </c>
      <c r="AJ13" s="2618" t="e">
        <f t="shared" si="5"/>
        <v>#DIV/0!</v>
      </c>
    </row>
    <row r="14" spans="1:39" ht="12.75" customHeight="1">
      <c r="A14" s="3693"/>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694"/>
      <c r="B15" s="2814" t="s">
        <v>1674</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691" t="s">
        <v>1812</v>
      </c>
      <c r="B16" s="1350" t="s">
        <v>925</v>
      </c>
      <c r="C16" s="1021">
        <f>ROUND(IF(F17="与级别开发程度一致",0,(G17-E17)/C17),0)</f>
        <v>0</v>
      </c>
      <c r="D16" s="3685" t="s">
        <v>929</v>
      </c>
      <c r="E16" s="3686"/>
      <c r="F16" s="3685" t="s">
        <v>926</v>
      </c>
      <c r="G16" s="3686"/>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695"/>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3130</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1803</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1809</v>
      </c>
      <c r="B19" s="1385" t="s">
        <v>931</v>
      </c>
      <c r="C19" s="1022">
        <f>ROUND(IF(H19="按公示增长率计算",SUMPRODUCT((地价!A3:A37=YEAR(G19)&amp;"-"&amp;ROUNDUP(MONTH(G19)/3,0))*(地价!X2:AB2=E2)*(地价!X3:AB37)),IF(H19="地价指数",M20/M19,(1+I19)^O19)),4)</f>
        <v>1.3996999999999999</v>
      </c>
      <c r="D19" s="1389" t="s">
        <v>932</v>
      </c>
      <c r="E19" s="1023">
        <v>41640</v>
      </c>
      <c r="F19" s="1389" t="s">
        <v>933</v>
      </c>
      <c r="G19" s="1024">
        <f>'数据-取费表'!B2</f>
        <v>44622</v>
      </c>
      <c r="H19" s="1390" t="s">
        <v>3131</v>
      </c>
      <c r="I19" s="2471" t="str">
        <f>IF(H19="季度增幅（自定义）",SUMIF(N21:N24,E2,O21:O24),"")</f>
        <v/>
      </c>
      <c r="J19" s="1386"/>
      <c r="K19" s="3199"/>
      <c r="L19" s="2719" t="s">
        <v>2789</v>
      </c>
      <c r="M19" s="2720">
        <f>ROUND(SUMIF(地价!B2:F2,E2,地价!B37:F37),0)</f>
        <v>258</v>
      </c>
      <c r="N19" s="2473" t="s">
        <v>1650</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1810</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v>40</v>
      </c>
      <c r="J20" s="2470">
        <f>IF(E2="住宅",70,IF(E2="商业",40,50))</f>
        <v>40</v>
      </c>
      <c r="K20" s="2810"/>
      <c r="L20" s="2721" t="s">
        <v>2790</v>
      </c>
      <c r="M20" s="2803">
        <f>ROUND(SUMPRODUCT((地价!A4:A37=YEAR(G19)&amp;"-"&amp;ROUNDUP(MONTH(G19)/3,0))*(地价!B2:F2=E2)*(地价!B4:F37)),0)</f>
        <v>353</v>
      </c>
      <c r="N20" s="2476" t="s">
        <v>2597</v>
      </c>
      <c r="O20" s="2474" t="s">
        <v>2596</v>
      </c>
      <c r="P20" s="2475" t="s">
        <v>2602</v>
      </c>
      <c r="Q20" s="2610"/>
      <c r="R20" s="2047"/>
      <c r="S20" s="2047"/>
      <c r="T20" s="2047"/>
      <c r="U20" s="2047"/>
      <c r="V20" s="2047"/>
      <c r="W20" s="2047"/>
      <c r="X20" s="2047"/>
      <c r="Y20" s="1387"/>
      <c r="Z20" s="1387"/>
      <c r="AA20" s="1387"/>
      <c r="AB20" s="1387"/>
      <c r="AC20" s="1387"/>
      <c r="AD20" s="1387"/>
    </row>
    <row r="21" spans="1:40" s="1344" customFormat="1" ht="14.25">
      <c r="A21" s="1544" t="s">
        <v>1811</v>
      </c>
      <c r="B21" s="1395" t="s">
        <v>3132</v>
      </c>
      <c r="C21" s="1123">
        <v>1</v>
      </c>
      <c r="D21" s="1396"/>
      <c r="E21" s="1396"/>
      <c r="F21" s="1396"/>
      <c r="G21" s="1396"/>
      <c r="H21" s="1396"/>
      <c r="I21" s="1396"/>
      <c r="J21" s="1397"/>
      <c r="K21" s="3199"/>
      <c r="L21" s="1396"/>
      <c r="M21" s="1396"/>
      <c r="N21" s="1393" t="s">
        <v>950</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1838</v>
      </c>
      <c r="B22" s="1398" t="s">
        <v>951</v>
      </c>
      <c r="C22" s="1025" t="s">
        <v>1676</v>
      </c>
      <c r="D22" s="1025">
        <f>IF(E22=G22,F22,IF(G3&lt;=10,ROUND(F22+(H22-F22)*(G3-E22)/(G22-E22),4),"——"))</f>
        <v>0</v>
      </c>
      <c r="E22" s="1008">
        <f>ROUNDDOWN(G3,1)</f>
        <v>0</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952</v>
      </c>
      <c r="J22" s="1025" t="str">
        <f>IF(G3&gt;10,D113,"——")</f>
        <v>——</v>
      </c>
      <c r="K22" s="3205"/>
      <c r="L22" s="1396"/>
      <c r="M22" s="1396"/>
      <c r="N22" s="1393" t="s">
        <v>953</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1839</v>
      </c>
      <c r="B23" s="1398" t="s">
        <v>954</v>
      </c>
      <c r="C23" s="1026" t="e">
        <f>ROUND(IF(G3&gt;1,IF(I3&lt;7,SUMPRODUCT((B93:B98=I3)*(C92:N92=G2)*(C93:N98)),SUMIF(C92:N92,G2,C100:N100)),IF(I3&lt;7,SUMPRODUCT((B102:B107=I3)*(C92:N92=G2)*(C102:N107)),SUMIF(C92:N92,G2,C109:N109))),4)</f>
        <v>#DIV/0!</v>
      </c>
      <c r="D23" s="1444"/>
      <c r="E23" s="1444"/>
      <c r="F23" s="1445"/>
      <c r="G23" s="1446"/>
      <c r="H23" s="1447"/>
      <c r="I23" s="1448"/>
      <c r="J23" s="1448"/>
      <c r="K23" s="3206"/>
      <c r="L23" s="1324"/>
      <c r="M23" s="1324"/>
      <c r="N23" s="1393" t="s">
        <v>898</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1840</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1841</v>
      </c>
      <c r="B25" s="1400" t="s">
        <v>957</v>
      </c>
      <c r="C25" s="1401"/>
      <c r="D25" s="1353"/>
      <c r="E25" s="1353"/>
      <c r="F25" s="1402"/>
      <c r="G25" s="1353"/>
      <c r="H25" s="1353"/>
      <c r="I25" s="1353"/>
      <c r="J25" s="1354"/>
      <c r="K25" s="3200"/>
      <c r="L25" s="2047"/>
      <c r="M25" s="2047"/>
      <c r="N25" s="2804" t="s">
        <v>2600</v>
      </c>
      <c r="O25" s="2805"/>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7390</v>
      </c>
      <c r="D29" s="1418"/>
      <c r="E29" s="1736">
        <f ca="1">ROUND(C29*D29/10000,0)</f>
        <v>0</v>
      </c>
      <c r="F29" s="1419" t="s">
        <v>1675</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1848</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687"/>
      <c r="B33" s="1438" t="s">
        <v>974</v>
      </c>
      <c r="C33" s="1028">
        <f ca="1">ROUND(D5*C19*C20*C24*F33,0)</f>
        <v>4434</v>
      </c>
      <c r="D33" s="1451"/>
      <c r="E33" s="1017">
        <f ca="1">ROUND(C33*D33/10000,0)</f>
        <v>0</v>
      </c>
      <c r="F33" s="1017">
        <f>SUMIF(修正!A45:A56,G2,修正!B45:B56)</f>
        <v>0.6</v>
      </c>
      <c r="G33" s="1017">
        <f t="shared" ref="G33" ca="1" si="6">ROUND(IF(E2="工业",C33*$M$39,C33*$M$38),0)</f>
        <v>1109</v>
      </c>
      <c r="H33" s="1017">
        <f>D33</f>
        <v>0</v>
      </c>
      <c r="I33" s="1017">
        <f ca="1">ROUND(G33*H33/10000,0)</f>
        <v>0</v>
      </c>
      <c r="J33" s="3687" t="s">
        <v>2959</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688"/>
      <c r="B34" s="1368" t="s">
        <v>975</v>
      </c>
      <c r="C34" s="1028">
        <f ca="1">ROUND(D5*C19*C20*C24*F34,0)</f>
        <v>2217</v>
      </c>
      <c r="D34" s="1451"/>
      <c r="E34" s="1017">
        <f t="shared" ref="E34:E39" ca="1" si="7">ROUND(C34*D34/10000,0)</f>
        <v>0</v>
      </c>
      <c r="F34" s="1017">
        <f>SUMIF(修正!A45:A56,G2,修正!C45:C56)</f>
        <v>0.3</v>
      </c>
      <c r="G34" s="1017">
        <f ca="1">ROUND(IF(E2="工业",C34*$M$39,C34*$M$38),0)</f>
        <v>554</v>
      </c>
      <c r="H34" s="1017">
        <f t="shared" ref="H34:H39" si="8">D34</f>
        <v>0</v>
      </c>
      <c r="I34" s="1017">
        <f t="shared" ref="I34:I39" ca="1" si="9">ROUND(G34*H34/10000,0)</f>
        <v>0</v>
      </c>
      <c r="J34" s="3688"/>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688"/>
      <c r="B35" s="1368" t="s">
        <v>976</v>
      </c>
      <c r="C35" s="1028">
        <f ca="1">ROUND(D5*C19*C20*C24*F35,0)</f>
        <v>1478</v>
      </c>
      <c r="D35" s="1451"/>
      <c r="E35" s="1017">
        <f t="shared" ca="1" si="7"/>
        <v>0</v>
      </c>
      <c r="F35" s="1017">
        <f>SUMIF(修正!A45:A56,G2,修正!D45:D56)</f>
        <v>0.2</v>
      </c>
      <c r="G35" s="1017">
        <f ca="1">ROUND(IF(E2="工业",C35*$M$39,C35*$M$38),0)</f>
        <v>370</v>
      </c>
      <c r="H35" s="1017">
        <f t="shared" si="8"/>
        <v>0</v>
      </c>
      <c r="I35" s="1017">
        <f t="shared" ca="1" si="9"/>
        <v>0</v>
      </c>
      <c r="J35" s="3688"/>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689"/>
      <c r="B36" s="1368" t="s">
        <v>977</v>
      </c>
      <c r="C36" s="1028">
        <f ca="1">ROUND(D5*C19*C20*C24*F36,0)</f>
        <v>1478</v>
      </c>
      <c r="D36" s="1451"/>
      <c r="E36" s="1017">
        <f t="shared" ca="1" si="7"/>
        <v>0</v>
      </c>
      <c r="F36" s="1017">
        <f>SUMIF(修正!A45:A56,G2,修正!E45:E56)</f>
        <v>0.2</v>
      </c>
      <c r="G36" s="1017">
        <f ca="1">ROUND(IF(E2="工业",C36*$M$39,C36*$M$38),0)</f>
        <v>370</v>
      </c>
      <c r="H36" s="1017">
        <f t="shared" si="8"/>
        <v>0</v>
      </c>
      <c r="I36" s="1017">
        <f t="shared" ca="1" si="9"/>
        <v>0</v>
      </c>
      <c r="J36" s="3689"/>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1478</v>
      </c>
      <c r="D37" s="1451"/>
      <c r="E37" s="1017">
        <f t="shared" ca="1" si="7"/>
        <v>0</v>
      </c>
      <c r="F37" s="1028">
        <f>SUMIF(修正!A45:A56,G2,修正!F45:F56)</f>
        <v>0.2</v>
      </c>
      <c r="G37" s="1017">
        <f ca="1">ROUND(IF(E2="工业",C37*$M$39,C37*$M$38),0)</f>
        <v>370</v>
      </c>
      <c r="H37" s="1017">
        <f t="shared" si="8"/>
        <v>0</v>
      </c>
      <c r="I37" s="1017">
        <f t="shared" ca="1" si="9"/>
        <v>0</v>
      </c>
      <c r="J37" s="1439"/>
      <c r="K37" s="2041"/>
      <c r="L37" s="1457" t="s">
        <v>1677</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1679</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1678</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2917</v>
      </c>
      <c r="C41" s="810">
        <f ca="1">ROUND(POWER(1+E41,H41-G41)*(POWER(1+E41,G41)-1)/(POWER(1+E41,H41)-1),4)</f>
        <v>0</v>
      </c>
      <c r="D41" s="372" t="s">
        <v>2915</v>
      </c>
      <c r="E41" s="2798">
        <f ca="1">G20</f>
        <v>5.3999999999999999E-2</v>
      </c>
      <c r="F41" s="372" t="s">
        <v>2916</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2216</v>
      </c>
      <c r="G46" s="2257" t="s">
        <v>989</v>
      </c>
      <c r="H46" s="2240" t="s">
        <v>2379</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2874</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2873</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2379</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2873</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2218</v>
      </c>
      <c r="G68" s="2257" t="s">
        <v>989</v>
      </c>
      <c r="H68" s="2240" t="s">
        <v>2379</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2873</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2219</v>
      </c>
      <c r="G79" s="2257" t="s">
        <v>989</v>
      </c>
      <c r="H79" s="2240" t="s">
        <v>2379</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2873</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696" t="s">
        <v>1608</v>
      </c>
      <c r="B90" s="3696"/>
      <c r="C90" s="3696"/>
      <c r="D90" s="3696"/>
      <c r="E90" s="3696"/>
      <c r="F90" s="3696"/>
      <c r="G90" s="3696"/>
      <c r="H90" s="3696"/>
      <c r="I90" s="3696"/>
      <c r="J90" s="3696"/>
      <c r="K90" s="3444"/>
      <c r="L90" s="3444"/>
      <c r="M90" s="3444"/>
      <c r="N90" s="3444"/>
    </row>
    <row r="91" spans="1:40">
      <c r="A91" s="3697" t="s">
        <v>1418</v>
      </c>
      <c r="B91" s="3697" t="s">
        <v>1609</v>
      </c>
      <c r="C91" s="1105" t="s">
        <v>1610</v>
      </c>
      <c r="D91" s="1106"/>
      <c r="E91" s="1106"/>
      <c r="F91" s="1106"/>
      <c r="G91" s="1106"/>
      <c r="H91" s="1106"/>
      <c r="I91" s="1106"/>
      <c r="J91" s="1107"/>
      <c r="K91" s="1099"/>
      <c r="L91" s="1099"/>
      <c r="M91" s="1099"/>
      <c r="N91" s="1099"/>
    </row>
    <row r="92" spans="1:40">
      <c r="A92" s="3697"/>
      <c r="B92" s="3697"/>
      <c r="C92" s="3445" t="s">
        <v>882</v>
      </c>
      <c r="D92" s="3445" t="s">
        <v>860</v>
      </c>
      <c r="E92" s="3445" t="s">
        <v>861</v>
      </c>
      <c r="F92" s="3445" t="s">
        <v>885</v>
      </c>
      <c r="G92" s="3445" t="s">
        <v>863</v>
      </c>
      <c r="H92" s="3445" t="s">
        <v>864</v>
      </c>
      <c r="I92" s="3445" t="s">
        <v>865</v>
      </c>
      <c r="J92" s="3445" t="s">
        <v>866</v>
      </c>
      <c r="K92" s="3445" t="s">
        <v>890</v>
      </c>
      <c r="L92" s="3445" t="s">
        <v>868</v>
      </c>
      <c r="M92" s="3445" t="s">
        <v>869</v>
      </c>
      <c r="N92" s="3445" t="s">
        <v>893</v>
      </c>
    </row>
    <row r="93" spans="1:40">
      <c r="A93" s="3680" t="s">
        <v>2715</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8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8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8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8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8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8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68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680" t="s">
        <v>1612</v>
      </c>
      <c r="B101" s="1112" t="s">
        <v>881</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81"/>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81"/>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81"/>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81"/>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81"/>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81"/>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81"/>
      <c r="B108" s="368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682"/>
      <c r="B109" s="3684"/>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90" t="s">
        <v>1614</v>
      </c>
      <c r="B110" s="3690"/>
      <c r="C110" s="3690"/>
      <c r="D110" s="3690"/>
      <c r="E110" s="3690"/>
      <c r="F110" s="3690"/>
      <c r="G110" s="3690"/>
      <c r="H110" s="3690"/>
      <c r="I110" s="3690"/>
      <c r="J110" s="3690"/>
      <c r="K110" s="3443"/>
      <c r="L110" s="3443"/>
      <c r="M110" s="3443"/>
      <c r="N110" s="3443"/>
    </row>
    <row r="112" spans="1:14" ht="12.75" thickBot="1"/>
    <row r="113" spans="1:13" ht="25.5" thickBot="1">
      <c r="A113" s="985" t="s">
        <v>871</v>
      </c>
      <c r="B113" s="2277">
        <f>G3</f>
        <v>0</v>
      </c>
      <c r="C113" s="986" t="s">
        <v>872</v>
      </c>
      <c r="D113" s="987">
        <f>SUMPRODUCT((A115:A118=F113)*(B114:M114=H113)*B115:M118)</f>
        <v>0.68899999999999995</v>
      </c>
      <c r="E113" s="988" t="s">
        <v>873</v>
      </c>
      <c r="F113" s="989" t="str">
        <f>E2</f>
        <v>商业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876</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877</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878</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7:A11"/>
    <mergeCell ref="W8:X8"/>
    <mergeCell ref="W9:W10"/>
    <mergeCell ref="W11:W13"/>
    <mergeCell ref="A12:A15"/>
    <mergeCell ref="A16:A17"/>
    <mergeCell ref="D16:E16"/>
    <mergeCell ref="F16:G16"/>
  </mergeCells>
  <phoneticPr fontId="225" type="noConversion"/>
  <conditionalFormatting sqref="F47">
    <cfRule type="cellIs" dxfId="9" priority="5" stopIfTrue="1" operator="notEqual">
      <formula>"——"</formula>
    </cfRule>
  </conditionalFormatting>
  <conditionalFormatting sqref="F58">
    <cfRule type="cellIs" dxfId="8" priority="4" stopIfTrue="1" operator="notEqual">
      <formula>"——"</formula>
    </cfRule>
  </conditionalFormatting>
  <conditionalFormatting sqref="F69">
    <cfRule type="cellIs" dxfId="7" priority="3" stopIfTrue="1" operator="notEqual">
      <formula>"——"</formula>
    </cfRule>
  </conditionalFormatting>
  <conditionalFormatting sqref="F80">
    <cfRule type="cellIs" dxfId="6" priority="2" stopIfTrue="1" operator="notEqual">
      <formula>"——"</formula>
    </cfRule>
  </conditionalFormatting>
  <conditionalFormatting sqref="H58:H66 H47:H55 H69:H77 H80:H87">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0" zoomScale="80" zoomScaleNormal="60" zoomScaleSheetLayoutView="80" workbookViewId="0">
      <selection activeCell="C22" sqref="C2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1668</v>
      </c>
      <c r="B1" s="1323"/>
      <c r="C1" s="1329" t="s">
        <v>2387</v>
      </c>
      <c r="D1" s="1435">
        <f>SUM(D29:D30,D33:D39)</f>
        <v>0</v>
      </c>
      <c r="E1" s="1329" t="s">
        <v>2388</v>
      </c>
      <c r="F1" s="2278"/>
      <c r="G1" s="1324"/>
      <c r="H1" s="1324"/>
      <c r="I1" s="1324"/>
      <c r="J1" s="1324"/>
      <c r="K1" s="2041"/>
      <c r="L1" s="1769" t="s">
        <v>2204</v>
      </c>
      <c r="M1" s="1770">
        <f>SUMPRODUCT((区片价!B5:B9=I2)*(区片价!C3:F3=E2)*(区片价!C5:F9))</f>
        <v>0</v>
      </c>
      <c r="N1" s="1771">
        <f>SUMPRODUCT((因素修正幅度!B5:B9=I2)*(因素修正幅度!C3:F3=E2)*(因素修正幅度!C5:F9))</f>
        <v>0</v>
      </c>
      <c r="O1" s="2041"/>
      <c r="P1" s="2041"/>
      <c r="Q1" s="2041"/>
      <c r="R1" s="2621" t="s">
        <v>2713</v>
      </c>
      <c r="S1" s="2621" t="s">
        <v>2714</v>
      </c>
      <c r="T1" s="2621" t="s">
        <v>2735</v>
      </c>
      <c r="U1" s="2621" t="s">
        <v>2736</v>
      </c>
      <c r="V1" s="2621" t="s">
        <v>2737</v>
      </c>
      <c r="W1" s="2041"/>
      <c r="X1" s="2041"/>
      <c r="Y1" s="2041"/>
      <c r="Z1" s="2041"/>
      <c r="AA1" s="2041"/>
      <c r="AB1" s="2041"/>
      <c r="AC1" s="2042"/>
    </row>
    <row r="2" spans="1:39" ht="15.75">
      <c r="A2" s="1329" t="s">
        <v>895</v>
      </c>
      <c r="B2" s="1007">
        <f ca="1">C26</f>
        <v>0</v>
      </c>
      <c r="C2" s="1330" t="s">
        <v>896</v>
      </c>
      <c r="D2" s="1331" t="s">
        <v>897</v>
      </c>
      <c r="E2" s="1332" t="s">
        <v>1651</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Ⅷ-通1</v>
      </c>
      <c r="J2" s="1333"/>
      <c r="K2" s="3197"/>
      <c r="L2" s="1772" t="s">
        <v>2205</v>
      </c>
      <c r="M2" s="1773">
        <f>SUMPRODUCT((区片价!B10:B28=I2)*(区片价!C3:F3=E2)*(区片价!C10:F28))</f>
        <v>0</v>
      </c>
      <c r="N2" s="1774">
        <f>SUMPRODUCT((因素修正幅度!B10:B28=I2)*(因素修正幅度!C3:F3=E2)*(因素修正幅度!C10:F28))</f>
        <v>0</v>
      </c>
      <c r="O2" s="3197"/>
      <c r="P2" s="2041"/>
      <c r="Q2" s="2041"/>
      <c r="R2" s="2622">
        <v>1</v>
      </c>
      <c r="S2" s="2622" t="e">
        <f>ROUND(IF(G3&gt;1,IF(R2&lt;7,SUMPRODUCT((B93:B98=R2)*(C92:N92=G2)*(C93:N98)),SUMIF(C92:N92,G2,C100:N100)),IF(R2&lt;7,SUMPRODUCT((B102:B107=R2)*(C92:N92=G2)*(C102:N107)),SUMIF(C92:N92,G2,C109:N109))),4)</f>
        <v>#DIV/0!</v>
      </c>
      <c r="T2" s="2622" t="e">
        <f ca="1">ROUND($C$5*$C$18*$C$19*$C$20*S2*$C$24,0)</f>
        <v>#DIV/0!</v>
      </c>
      <c r="U2" s="2611"/>
      <c r="V2" s="2622" t="e">
        <f ca="1">ROUND(T2*U2/10000,0)</f>
        <v>#DIV/0!</v>
      </c>
      <c r="W2" s="2041"/>
      <c r="X2" s="2041"/>
      <c r="Y2" s="2041"/>
      <c r="Z2" s="2041"/>
      <c r="AA2" s="2041"/>
      <c r="AB2" s="2041"/>
      <c r="AC2" s="2042"/>
    </row>
    <row r="3" spans="1:39" ht="24">
      <c r="A3" s="1334" t="s">
        <v>1661</v>
      </c>
      <c r="B3" s="1007" t="e">
        <f ca="1">ROUND(B2*10000/D1,0)</f>
        <v>#DIV/0!</v>
      </c>
      <c r="C3" s="1330" t="s">
        <v>902</v>
      </c>
      <c r="D3" s="1331" t="s">
        <v>903</v>
      </c>
      <c r="E3" s="1335" t="s">
        <v>3136</v>
      </c>
      <c r="F3" s="1336"/>
      <c r="G3" s="1008">
        <f>IF(F3="宗地容积率",'数据-汇总表'!I4,IF(F3="估价对象容积率",'数据-汇总表'!I6,'数据-汇总表'!I7))</f>
        <v>0</v>
      </c>
      <c r="H3" s="1337" t="s">
        <v>904</v>
      </c>
      <c r="I3" s="1009"/>
      <c r="J3" s="1333" t="s">
        <v>905</v>
      </c>
      <c r="K3" s="3197"/>
      <c r="L3" s="1772" t="s">
        <v>2206</v>
      </c>
      <c r="M3" s="1773">
        <f>SUMPRODUCT((区片价!B29:B48=I2)*(区片价!C3:F3=E2)*(区片价!C29:F48))</f>
        <v>0</v>
      </c>
      <c r="N3" s="1774">
        <f>SUMPRODUCT((因素修正幅度!B29:B48=I2)*(因素修正幅度!C3:F3=E2)*(因素修正幅度!C29:F48))</f>
        <v>0</v>
      </c>
      <c r="O3" s="3197"/>
      <c r="P3" s="2041"/>
      <c r="Q3" s="2041"/>
      <c r="R3" s="2622">
        <v>2</v>
      </c>
      <c r="S3" s="2622" t="e">
        <f>ROUND(IF(G3&gt;1,IF(R3&lt;7,SUMPRODUCT((B93:B98=R3)*(C92:N92=G2)*(C93:N98)),SUMIF(C92:N92,G2,C100:N100)),IF(R3&lt;7,SUMPRODUCT((B102:B107=R3)*(C92:N92=G2)*(C102:N107)),SUMIF(C92:N92,G2,C109:N109))),4)</f>
        <v>#DIV/0!</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2245</v>
      </c>
      <c r="B4" s="2279" t="e">
        <f ca="1">ROUND(B2*10000/F1,0)</f>
        <v>#DIV/0!</v>
      </c>
      <c r="C4" s="1781" t="s">
        <v>2220</v>
      </c>
      <c r="D4" s="1781" t="e">
        <f ca="1">ROUND(B2/(F1/666.67),0)</f>
        <v>#DIV/0!</v>
      </c>
      <c r="E4" s="1781" t="s">
        <v>2221</v>
      </c>
      <c r="F4" s="1779"/>
      <c r="G4" s="1779"/>
      <c r="H4" s="1779"/>
      <c r="I4" s="1779"/>
      <c r="J4" s="1780"/>
      <c r="K4" s="3198"/>
      <c r="L4" s="1772" t="s">
        <v>2207</v>
      </c>
      <c r="M4" s="1773">
        <f>SUMPRODUCT((区片价!B49:B75=I2)*(区片价!C3:F3=E2)*(区片价!C49:F75))</f>
        <v>0</v>
      </c>
      <c r="N4" s="1774">
        <f>SUMPRODUCT((因素修正幅度!B49:B75=I2)*(因素修正幅度!C3:F3=E2)*(因素修正幅度!C49:F75))</f>
        <v>0</v>
      </c>
      <c r="O4" s="3198"/>
      <c r="P4" s="2041"/>
      <c r="Q4" s="2041"/>
      <c r="R4" s="2622">
        <v>3</v>
      </c>
      <c r="S4" s="2622" t="e">
        <f>ROUND(IF(G3&gt;1,IF(R4&lt;7,SUMPRODUCT((B93:B98=R4)*(C92:N92=G2)*(C93:N98)),SUMIF(C92:N92,G2,C100:N100)),IF(R4&lt;7,SUMPRODUCT((B102:B107=R4)*(C92:N92=G2)*(C102:N107)),SUMIF(C92:N92,G2,C109:N109))),4)</f>
        <v>#DIV/0!</v>
      </c>
      <c r="T4" s="2622" t="e">
        <f t="shared" ca="1" si="0"/>
        <v>#DIV/0!</v>
      </c>
      <c r="U4" s="2611"/>
      <c r="V4" s="2622" t="e">
        <f t="shared" ca="1" si="1"/>
        <v>#DIV/0!</v>
      </c>
      <c r="W4" s="2041"/>
      <c r="X4" s="2041"/>
      <c r="Y4" s="2041"/>
      <c r="Z4" s="2041"/>
      <c r="AA4" s="2041"/>
      <c r="AB4" s="2041"/>
      <c r="AC4" s="2042"/>
    </row>
    <row r="5" spans="1:39" s="1344" customFormat="1" ht="15.75" thickBot="1">
      <c r="A5" s="1540" t="s">
        <v>1797</v>
      </c>
      <c r="B5" s="1338" t="s">
        <v>906</v>
      </c>
      <c r="C5" s="1010">
        <f>ROUND(IF(E2="商业",C6*C7+C16,(IF(E2="住宅",C6*C12+C16,C6+C16))),0)</f>
        <v>5250</v>
      </c>
      <c r="D5" s="2759">
        <f>ROUND(C6+C16,0)</f>
        <v>5250</v>
      </c>
      <c r="E5" s="2759"/>
      <c r="F5" s="1339"/>
      <c r="G5" s="1340"/>
      <c r="H5" s="1340"/>
      <c r="I5" s="1340"/>
      <c r="J5" s="1341"/>
      <c r="K5" s="3199"/>
      <c r="L5" s="1772" t="s">
        <v>2208</v>
      </c>
      <c r="M5" s="1773">
        <f>SUMPRODUCT((区片价!B76:B109=I2)*(区片价!C3:F3=E2)*(区片价!C76:F109))</f>
        <v>0</v>
      </c>
      <c r="N5" s="1774">
        <f>SUMPRODUCT((因素修正幅度!B76:B109=I2)*(因素修正幅度!C3:F3=E2)*(因素修正幅度!C76:F109))</f>
        <v>0</v>
      </c>
      <c r="O5" s="3199"/>
      <c r="P5" s="3202"/>
      <c r="Q5" s="2041"/>
      <c r="R5" s="2622">
        <v>4</v>
      </c>
      <c r="S5" s="2622" t="e">
        <f>ROUND(IF(G3&gt;1,IF(R5&lt;7,SUMPRODUCT((B93:B98=R5)*(C92:N92=G2)*(C93:N98)),SUMIF(C92:N92,G2,C100:N100)),IF(R5&lt;7,SUMPRODUCT((B102:B107=R5)*(C92:N92=G2)*(C102:N107)),SUMIF(C92:N92,G2,C109:N109))),4)</f>
        <v>#DIV/0!</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1838</v>
      </c>
      <c r="B6" s="1345" t="s">
        <v>906</v>
      </c>
      <c r="C6" s="1011">
        <f>SUMIF(L1:L12,基准地价办公!G2,M1:M12)</f>
        <v>5250</v>
      </c>
      <c r="D6" s="1346" t="s">
        <v>1669</v>
      </c>
      <c r="E6" s="1347"/>
      <c r="F6" s="1347"/>
      <c r="G6" s="1348"/>
      <c r="H6" s="1348"/>
      <c r="I6" s="1348"/>
      <c r="J6" s="1349"/>
      <c r="K6" s="3200"/>
      <c r="L6" s="1772" t="s">
        <v>2209</v>
      </c>
      <c r="M6" s="1773">
        <f>SUMPRODUCT((区片价!B110:B157=I2)*(区片价!C3:F3=E2)*(区片价!C110:F157))</f>
        <v>0</v>
      </c>
      <c r="N6" s="1774">
        <f>SUMPRODUCT((因素修正幅度!B110:B157=I2)*(因素修正幅度!C3:F3=E2)*(因素修正幅度!C110:F157))</f>
        <v>0</v>
      </c>
      <c r="O6" s="3200"/>
      <c r="P6" s="3203"/>
      <c r="Q6" s="2041"/>
      <c r="R6" s="2622">
        <v>5</v>
      </c>
      <c r="S6" s="2622" t="e">
        <f>ROUND(IF(G3&gt;1,IF(R6&lt;7,SUMPRODUCT((B93:B98=R6)*(C92:N92=G2)*(C93:N98)),SUMIF(C92:N92,G2,C100:N100)),IF(R6&lt;7,SUMPRODUCT((B102:B107=R6)*(C92:N92=G2)*(C102:N107)),SUMIF(C92:N92,G2,C109:N109))),4)</f>
        <v>#DIV/0!</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3691" t="str">
        <f>IF(E2="商业",IF(C8="不临58条商业街","",2),"")</f>
        <v/>
      </c>
      <c r="B7" s="1350" t="s">
        <v>907</v>
      </c>
      <c r="C7" s="1012" t="e">
        <f>IF(C8="不临58条商业街",1,ROUND(1+(1.6*E8+1.2*E9+0.8*E10+0.4*E11)*C9,4))</f>
        <v>#DIV/0!</v>
      </c>
      <c r="D7" s="1351" t="s">
        <v>908</v>
      </c>
      <c r="E7" s="1013"/>
      <c r="F7" s="1352"/>
      <c r="G7" s="1353"/>
      <c r="H7" s="1353"/>
      <c r="I7" s="1353"/>
      <c r="J7" s="1354"/>
      <c r="K7" s="3200"/>
      <c r="L7" s="1772" t="s">
        <v>2210</v>
      </c>
      <c r="M7" s="1773">
        <f>SUMPRODUCT((区片价!B158:B205=I2)*(区片价!C3:F3=E2)*(区片价!C158:F205))</f>
        <v>0</v>
      </c>
      <c r="N7" s="1774">
        <f>SUMPRODUCT((因素修正幅度!B158:B205=I2)*(因素修正幅度!C3:F3=E2)*(因素修正幅度!C158:F205))</f>
        <v>0</v>
      </c>
      <c r="O7" s="3200"/>
      <c r="P7" s="3203"/>
      <c r="Q7" s="2041"/>
      <c r="R7" s="2622">
        <v>6</v>
      </c>
      <c r="S7" s="2622" t="e">
        <f>ROUND(IF(G3&gt;1,IF(R7&lt;7,SUMPRODUCT((B93:B98=R7)*(C92:N92=G2)*(C93:N98)),SUMIF(C92:N92,G2,C100:N100)),IF(R7&lt;7,SUMPRODUCT((B102:B107=R7)*(C92:N92=G2)*(C102:N107)),SUMIF(C92:N92,G2,C109:N109))),4)</f>
        <v>#DIV/0!</v>
      </c>
      <c r="T7" s="2622" t="e">
        <f t="shared" ca="1" si="0"/>
        <v>#DIV/0!</v>
      </c>
      <c r="U7" s="2611"/>
      <c r="V7" s="2622" t="e">
        <f t="shared" ca="1" si="1"/>
        <v>#DIV/0!</v>
      </c>
      <c r="W7" s="2620" t="s">
        <v>2716</v>
      </c>
      <c r="X7" s="2612" t="str">
        <f>G2</f>
        <v>八级</v>
      </c>
      <c r="Y7" s="2612" t="s">
        <v>2717</v>
      </c>
      <c r="Z7" s="2613">
        <f>G3</f>
        <v>0</v>
      </c>
      <c r="AA7" s="2044"/>
      <c r="AB7" s="2044"/>
      <c r="AC7" s="2045"/>
      <c r="AD7" s="2614"/>
      <c r="AE7" s="2614"/>
      <c r="AF7" s="2614"/>
      <c r="AG7" s="2614"/>
      <c r="AH7" s="2614"/>
      <c r="AI7" s="2614"/>
      <c r="AJ7" s="2615"/>
    </row>
    <row r="8" spans="1:39" ht="15">
      <c r="A8" s="3692"/>
      <c r="B8" s="1337" t="s">
        <v>909</v>
      </c>
      <c r="C8" s="1443"/>
      <c r="D8" s="1014" t="s">
        <v>910</v>
      </c>
      <c r="E8" s="1015" t="e">
        <f>ROUND(C11/E7,4)</f>
        <v>#DIV/0!</v>
      </c>
      <c r="F8" s="1355" t="s">
        <v>911</v>
      </c>
      <c r="G8" s="1356"/>
      <c r="H8" s="1356"/>
      <c r="I8" s="1356"/>
      <c r="J8" s="1357"/>
      <c r="K8" s="3200"/>
      <c r="L8" s="1772" t="s">
        <v>2211</v>
      </c>
      <c r="M8" s="1773">
        <f>SUMPRODUCT((区片价!B206:B244=I2)*(区片价!C3:F3=E2)*(区片价!C206:F244))</f>
        <v>5250</v>
      </c>
      <c r="N8" s="1774">
        <f>SUMPRODUCT((因素修正幅度!B206:B244=I2)*(因素修正幅度!C3:F3=E2)*(因素修正幅度!C206:F244))</f>
        <v>0.15</v>
      </c>
      <c r="O8" s="3200"/>
      <c r="P8" s="2041"/>
      <c r="Q8" s="2041"/>
      <c r="R8" s="2622">
        <v>7</v>
      </c>
      <c r="S8" s="2611"/>
      <c r="T8" s="2622">
        <f t="shared" ca="1" si="0"/>
        <v>0</v>
      </c>
      <c r="U8" s="2611"/>
      <c r="V8" s="2622">
        <f t="shared" ca="1" si="1"/>
        <v>0</v>
      </c>
      <c r="W8" s="3678" t="s">
        <v>2734</v>
      </c>
      <c r="X8" s="3679"/>
      <c r="Y8" s="1736" t="s">
        <v>2718</v>
      </c>
      <c r="Z8" s="1736" t="s">
        <v>2719</v>
      </c>
      <c r="AA8" s="1736" t="s">
        <v>2720</v>
      </c>
      <c r="AB8" s="1736" t="s">
        <v>2721</v>
      </c>
      <c r="AC8" s="1736" t="s">
        <v>2722</v>
      </c>
      <c r="AD8" s="1736" t="s">
        <v>2723</v>
      </c>
      <c r="AE8" s="1736" t="s">
        <v>2724</v>
      </c>
      <c r="AF8" s="1736" t="s">
        <v>2725</v>
      </c>
      <c r="AG8" s="1736" t="s">
        <v>2726</v>
      </c>
      <c r="AH8" s="1736" t="s">
        <v>2727</v>
      </c>
      <c r="AI8" s="1736" t="s">
        <v>2728</v>
      </c>
      <c r="AJ8" s="1736" t="s">
        <v>2729</v>
      </c>
    </row>
    <row r="9" spans="1:39" ht="15">
      <c r="A9" s="3692"/>
      <c r="B9" s="1337" t="s">
        <v>912</v>
      </c>
      <c r="C9" s="1016">
        <f>SUMIF(修正!C59:C119,C8,修正!E59:E119)</f>
        <v>0</v>
      </c>
      <c r="D9" s="1017" t="s">
        <v>913</v>
      </c>
      <c r="E9" s="1017" t="e">
        <f>ROUND(C11/E7,4)</f>
        <v>#DIV/0!</v>
      </c>
      <c r="F9" s="1355" t="s">
        <v>914</v>
      </c>
      <c r="G9" s="1356"/>
      <c r="H9" s="1356"/>
      <c r="I9" s="1356"/>
      <c r="J9" s="1357"/>
      <c r="K9" s="3200"/>
      <c r="L9" s="1772" t="s">
        <v>2212</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677" t="s">
        <v>2730</v>
      </c>
      <c r="X9" s="2616" t="s">
        <v>2731</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692"/>
      <c r="B10" s="1337" t="s">
        <v>915</v>
      </c>
      <c r="C10" s="1017">
        <f>SUMIF(修正!C59:C119,C8,修正!F59:F119)</f>
        <v>0</v>
      </c>
      <c r="D10" s="1017" t="s">
        <v>916</v>
      </c>
      <c r="E10" s="1017" t="e">
        <f>ROUND(C11/E7,4)</f>
        <v>#DIV/0!</v>
      </c>
      <c r="F10" s="1355" t="s">
        <v>917</v>
      </c>
      <c r="G10" s="1356"/>
      <c r="H10" s="1356"/>
      <c r="I10" s="1356"/>
      <c r="J10" s="1357"/>
      <c r="K10" s="3200"/>
      <c r="L10" s="1772" t="s">
        <v>2213</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67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692"/>
      <c r="B11" s="1358" t="s">
        <v>918</v>
      </c>
      <c r="C11" s="1018">
        <f>C10/4</f>
        <v>0</v>
      </c>
      <c r="D11" s="1018" t="s">
        <v>919</v>
      </c>
      <c r="E11" s="1018" t="e">
        <f>ROUND(C11/E7,4)</f>
        <v>#DIV/0!</v>
      </c>
      <c r="F11" s="1359" t="s">
        <v>920</v>
      </c>
      <c r="G11" s="1360"/>
      <c r="H11" s="1360"/>
      <c r="I11" s="1360"/>
      <c r="J11" s="1361"/>
      <c r="K11" s="3200"/>
      <c r="L11" s="1772" t="s">
        <v>2214</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677" t="s">
        <v>2732</v>
      </c>
      <c r="X11" s="1017" t="s">
        <v>2717</v>
      </c>
      <c r="Y11" s="1555">
        <f>$G$3</f>
        <v>0</v>
      </c>
      <c r="Z11" s="1555">
        <f t="shared" ref="Z11:AJ11" si="3">$G$3</f>
        <v>0</v>
      </c>
      <c r="AA11" s="1555">
        <f t="shared" si="3"/>
        <v>0</v>
      </c>
      <c r="AB11" s="1555">
        <f t="shared" si="3"/>
        <v>0</v>
      </c>
      <c r="AC11" s="1555">
        <f t="shared" si="3"/>
        <v>0</v>
      </c>
      <c r="AD11" s="1555">
        <f t="shared" si="3"/>
        <v>0</v>
      </c>
      <c r="AE11" s="1555">
        <f t="shared" si="3"/>
        <v>0</v>
      </c>
      <c r="AF11" s="1555">
        <f t="shared" si="3"/>
        <v>0</v>
      </c>
      <c r="AG11" s="1555">
        <f t="shared" si="3"/>
        <v>0</v>
      </c>
      <c r="AH11" s="1555">
        <f t="shared" si="3"/>
        <v>0</v>
      </c>
      <c r="AI11" s="1555">
        <f t="shared" si="3"/>
        <v>0</v>
      </c>
      <c r="AJ11" s="1555">
        <f t="shared" si="3"/>
        <v>0</v>
      </c>
    </row>
    <row r="12" spans="1:39" ht="25.5" thickBot="1">
      <c r="A12" s="3691" t="s">
        <v>1839</v>
      </c>
      <c r="B12" s="1362" t="s">
        <v>921</v>
      </c>
      <c r="C12" s="1012">
        <f>ROUND(C15*D15*E15*F15*G15*H15*I15*J15,4)</f>
        <v>1</v>
      </c>
      <c r="D12" s="1363" t="s">
        <v>922</v>
      </c>
      <c r="E12" s="1364"/>
      <c r="F12" s="1364"/>
      <c r="G12" s="1365"/>
      <c r="H12" s="1365"/>
      <c r="I12" s="1365"/>
      <c r="J12" s="1366"/>
      <c r="K12" s="3200"/>
      <c r="L12" s="1775" t="s">
        <v>2215</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677"/>
      <c r="X12" s="2619" t="s">
        <v>2733</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693"/>
      <c r="B13" s="1367" t="s">
        <v>1670</v>
      </c>
      <c r="C13" s="1368" t="s">
        <v>1671</v>
      </c>
      <c r="D13" s="1054" t="s">
        <v>1672</v>
      </c>
      <c r="E13" s="1054" t="s">
        <v>1673</v>
      </c>
      <c r="F13" s="1369" t="s">
        <v>923</v>
      </c>
      <c r="G13" s="1370" t="s">
        <v>1616</v>
      </c>
      <c r="H13" s="1371" t="s">
        <v>1616</v>
      </c>
      <c r="I13" s="1372" t="s">
        <v>1616</v>
      </c>
      <c r="J13" s="1373" t="s">
        <v>1616</v>
      </c>
      <c r="K13" s="2809"/>
      <c r="L13" s="2809"/>
      <c r="M13" s="2809"/>
      <c r="N13" s="2809"/>
      <c r="O13" s="2809"/>
      <c r="P13" s="2041"/>
      <c r="Q13" s="2041"/>
      <c r="R13" s="2622">
        <v>12</v>
      </c>
      <c r="S13" s="2611"/>
      <c r="T13" s="2622">
        <f t="shared" ca="1" si="0"/>
        <v>0</v>
      </c>
      <c r="U13" s="2611"/>
      <c r="V13" s="2622">
        <f t="shared" ca="1" si="1"/>
        <v>0</v>
      </c>
      <c r="W13" s="3677"/>
      <c r="X13" s="2619"/>
      <c r="Y13" s="2618" t="e">
        <f>(-0.163*(Y12^2)-0.59*Y12+7617)*(10^(-4))/Y11</f>
        <v>#DIV/0!</v>
      </c>
      <c r="Z13" s="2618" t="e">
        <f t="shared" ref="Z13:AJ13" si="5">(-0.163*(Z12^2)-0.59*Z12+7617)*(10^(-4))/Z11</f>
        <v>#DIV/0!</v>
      </c>
      <c r="AA13" s="2618" t="e">
        <f t="shared" si="5"/>
        <v>#DIV/0!</v>
      </c>
      <c r="AB13" s="2618" t="e">
        <f t="shared" si="5"/>
        <v>#DIV/0!</v>
      </c>
      <c r="AC13" s="2618" t="e">
        <f t="shared" si="5"/>
        <v>#DIV/0!</v>
      </c>
      <c r="AD13" s="2618" t="e">
        <f t="shared" si="5"/>
        <v>#DIV/0!</v>
      </c>
      <c r="AE13" s="2618" t="e">
        <f t="shared" si="5"/>
        <v>#DIV/0!</v>
      </c>
      <c r="AF13" s="2618" t="e">
        <f t="shared" si="5"/>
        <v>#DIV/0!</v>
      </c>
      <c r="AG13" s="2618" t="e">
        <f t="shared" si="5"/>
        <v>#DIV/0!</v>
      </c>
      <c r="AH13" s="2618" t="e">
        <f t="shared" si="5"/>
        <v>#DIV/0!</v>
      </c>
      <c r="AI13" s="2618" t="e">
        <f t="shared" si="5"/>
        <v>#DIV/0!</v>
      </c>
      <c r="AJ13" s="2618" t="e">
        <f t="shared" si="5"/>
        <v>#DIV/0!</v>
      </c>
    </row>
    <row r="14" spans="1:39" ht="12.75" customHeight="1">
      <c r="A14" s="3693"/>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694"/>
      <c r="B15" s="2814" t="s">
        <v>1674</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691" t="s">
        <v>1812</v>
      </c>
      <c r="B16" s="1350" t="s">
        <v>925</v>
      </c>
      <c r="C16" s="1021">
        <f>ROUND(IF(F17="与级别开发程度一致",0,(G17-E17)/C17),0)</f>
        <v>0</v>
      </c>
      <c r="D16" s="3685" t="s">
        <v>929</v>
      </c>
      <c r="E16" s="3686"/>
      <c r="F16" s="3685" t="s">
        <v>926</v>
      </c>
      <c r="G16" s="3686"/>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695"/>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3130</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1803</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1809</v>
      </c>
      <c r="B19" s="1385" t="s">
        <v>931</v>
      </c>
      <c r="C19" s="1022">
        <f>ROUND(IF(H19="按公示增长率计算",SUMPRODUCT((地价!A3:A37=YEAR(G19)&amp;"-"&amp;ROUNDUP(MONTH(G19)/3,0))*(地价!X2:AB2=E2)*(地价!X3:AB37)),IF(H19="地价指数",M20/M19,(1+I19)^O19)),4)</f>
        <v>1.3996999999999999</v>
      </c>
      <c r="D19" s="1389" t="s">
        <v>932</v>
      </c>
      <c r="E19" s="1023">
        <v>41640</v>
      </c>
      <c r="F19" s="1389" t="s">
        <v>933</v>
      </c>
      <c r="G19" s="1024">
        <f>'数据-取费表'!B2</f>
        <v>44622</v>
      </c>
      <c r="H19" s="1390" t="s">
        <v>3131</v>
      </c>
      <c r="I19" s="2471" t="str">
        <f>IF(H19="季度增幅（自定义）",SUMIF(N21:N24,E2,O21:O24),"")</f>
        <v/>
      </c>
      <c r="J19" s="1386"/>
      <c r="K19" s="3199"/>
      <c r="L19" s="2719" t="s">
        <v>2789</v>
      </c>
      <c r="M19" s="2720">
        <f>ROUND(SUMIF(地价!B2:F2,E2,地价!B37:F37),0)</f>
        <v>258</v>
      </c>
      <c r="N19" s="2473" t="s">
        <v>1650</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1810</v>
      </c>
      <c r="B20" s="2466" t="s">
        <v>946</v>
      </c>
      <c r="C20" s="2467">
        <f ca="1">ROUND(POWER(1+G20,J20-I20)*(POWER(1+G20,I20)-1)/(POWER(1+G20,J20)-1),4)</f>
        <v>1</v>
      </c>
      <c r="D20" s="2468" t="s">
        <v>947</v>
      </c>
      <c r="E20" s="2749">
        <f ca="1">存贷款利率!I4/100</f>
        <v>4.3499999999999997E-2</v>
      </c>
      <c r="F20" s="2468" t="s">
        <v>948</v>
      </c>
      <c r="G20" s="2469">
        <f ca="1">SUMIF(M26:P26,E2,M28:P28)</f>
        <v>5.1999999999999998E-2</v>
      </c>
      <c r="H20" s="2468" t="s">
        <v>949</v>
      </c>
      <c r="I20" s="2464">
        <v>50</v>
      </c>
      <c r="J20" s="2470">
        <f>IF(E2="住宅",70,IF(E2="商业",40,50))</f>
        <v>50</v>
      </c>
      <c r="K20" s="2810"/>
      <c r="L20" s="2721" t="s">
        <v>2790</v>
      </c>
      <c r="M20" s="2803">
        <f>ROUND(SUMPRODUCT((地价!A4:A37=YEAR(G19)&amp;"-"&amp;ROUNDUP(MONTH(G19)/3,0))*(地价!B2:F2=E2)*(地价!B4:F37)),0)</f>
        <v>353</v>
      </c>
      <c r="N20" s="2476" t="s">
        <v>2597</v>
      </c>
      <c r="O20" s="2474" t="s">
        <v>2596</v>
      </c>
      <c r="P20" s="2475" t="s">
        <v>2602</v>
      </c>
      <c r="Q20" s="2610"/>
      <c r="R20" s="2047"/>
      <c r="S20" s="2047"/>
      <c r="T20" s="2047"/>
      <c r="U20" s="2047"/>
      <c r="V20" s="2047"/>
      <c r="W20" s="2047"/>
      <c r="X20" s="2047"/>
      <c r="Y20" s="1387"/>
      <c r="Z20" s="1387"/>
      <c r="AA20" s="1387"/>
      <c r="AB20" s="1387"/>
      <c r="AC20" s="1387"/>
      <c r="AD20" s="1387"/>
    </row>
    <row r="21" spans="1:40" s="1344" customFormat="1" ht="14.25">
      <c r="A21" s="1544" t="s">
        <v>1811</v>
      </c>
      <c r="B21" s="1395" t="s">
        <v>3132</v>
      </c>
      <c r="C21" s="1123">
        <v>1</v>
      </c>
      <c r="D21" s="1396"/>
      <c r="E21" s="1396"/>
      <c r="F21" s="1396"/>
      <c r="G21" s="1396"/>
      <c r="H21" s="1396"/>
      <c r="I21" s="1396"/>
      <c r="J21" s="1397"/>
      <c r="K21" s="3199"/>
      <c r="L21" s="1396"/>
      <c r="M21" s="1396"/>
      <c r="N21" s="1393" t="s">
        <v>950</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1838</v>
      </c>
      <c r="B22" s="1398" t="s">
        <v>951</v>
      </c>
      <c r="C22" s="1025" t="s">
        <v>1676</v>
      </c>
      <c r="D22" s="1025">
        <f>IF(E22=G22,F22,IF(G3&lt;=10,ROUND(F22+(H22-F22)*(G3-E22)/(G22-E22),4),"——"))</f>
        <v>0</v>
      </c>
      <c r="E22" s="1008">
        <f>ROUNDDOWN(G3,1)</f>
        <v>0</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952</v>
      </c>
      <c r="J22" s="1025" t="str">
        <f>IF(G3&gt;10,D113,"——")</f>
        <v>——</v>
      </c>
      <c r="K22" s="3205"/>
      <c r="L22" s="1396"/>
      <c r="M22" s="1396"/>
      <c r="N22" s="1393" t="s">
        <v>953</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1839</v>
      </c>
      <c r="B23" s="1398" t="s">
        <v>954</v>
      </c>
      <c r="C23" s="1026" t="e">
        <f>ROUND(IF(G3&gt;1,IF(I3&lt;7,SUMPRODUCT((B93:B98=I3)*(C92:N92=G2)*(C93:N98)),SUMIF(C92:N92,G2,C100:N100)),IF(I3&lt;7,SUMPRODUCT((B102:B107=I3)*(C92:N92=G2)*(C102:N107)),SUMIF(C92:N92,G2,C109:N109))),4)</f>
        <v>#DIV/0!</v>
      </c>
      <c r="D23" s="1444"/>
      <c r="E23" s="1444"/>
      <c r="F23" s="1445"/>
      <c r="G23" s="1446"/>
      <c r="H23" s="1447"/>
      <c r="I23" s="1448"/>
      <c r="J23" s="1448"/>
      <c r="K23" s="3206"/>
      <c r="L23" s="1324"/>
      <c r="M23" s="1324"/>
      <c r="N23" s="1393" t="s">
        <v>898</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1840</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1841</v>
      </c>
      <c r="B25" s="1400" t="s">
        <v>957</v>
      </c>
      <c r="C25" s="1401"/>
      <c r="D25" s="1353"/>
      <c r="E25" s="1353"/>
      <c r="F25" s="1402"/>
      <c r="G25" s="1353"/>
      <c r="H25" s="1353"/>
      <c r="I25" s="1353"/>
      <c r="J25" s="1354"/>
      <c r="K25" s="3200"/>
      <c r="L25" s="2047"/>
      <c r="M25" s="2047"/>
      <c r="N25" s="2804" t="s">
        <v>2600</v>
      </c>
      <c r="O25" s="2805"/>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7348</v>
      </c>
      <c r="D29" s="1418"/>
      <c r="E29" s="1736">
        <f ca="1">ROUND(C29*D29/10000,0)</f>
        <v>0</v>
      </c>
      <c r="F29" s="1419" t="s">
        <v>1675</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1837</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687"/>
      <c r="B33" s="1438" t="s">
        <v>974</v>
      </c>
      <c r="C33" s="1028">
        <f ca="1">ROUND(D5*C19*C20*C24*F33,0)</f>
        <v>4409</v>
      </c>
      <c r="D33" s="1451"/>
      <c r="E33" s="1017">
        <f ca="1">ROUND(C33*D33/10000,0)</f>
        <v>0</v>
      </c>
      <c r="F33" s="1017">
        <f>SUMIF(修正!A45:A56,G2,修正!B45:B56)</f>
        <v>0.6</v>
      </c>
      <c r="G33" s="1017">
        <f t="shared" ref="G33" ca="1" si="6">ROUND(IF(E2="工业",C33*$M$39,C33*$M$38),0)</f>
        <v>1102</v>
      </c>
      <c r="H33" s="1017">
        <f>D33</f>
        <v>0</v>
      </c>
      <c r="I33" s="1017">
        <f ca="1">ROUND(G33*H33/10000,0)</f>
        <v>0</v>
      </c>
      <c r="J33" s="3687" t="s">
        <v>2959</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688"/>
      <c r="B34" s="1368" t="s">
        <v>975</v>
      </c>
      <c r="C34" s="1028">
        <f ca="1">ROUND(D5*C19*C20*C24*F34,0)</f>
        <v>2205</v>
      </c>
      <c r="D34" s="1451"/>
      <c r="E34" s="1017">
        <f t="shared" ref="E34:E39" ca="1" si="7">ROUND(C34*D34/10000,0)</f>
        <v>0</v>
      </c>
      <c r="F34" s="1017">
        <f>SUMIF(修正!A45:A56,G2,修正!C45:C56)</f>
        <v>0.3</v>
      </c>
      <c r="G34" s="1017">
        <f ca="1">ROUND(IF(E2="工业",C34*$M$39,C34*$M$38),0)</f>
        <v>551</v>
      </c>
      <c r="H34" s="1017">
        <f t="shared" ref="H34:H39" si="8">D34</f>
        <v>0</v>
      </c>
      <c r="I34" s="1017">
        <f t="shared" ref="I34:I39" ca="1" si="9">ROUND(G34*H34/10000,0)</f>
        <v>0</v>
      </c>
      <c r="J34" s="3688"/>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688"/>
      <c r="B35" s="1368" t="s">
        <v>976</v>
      </c>
      <c r="C35" s="1028">
        <f ca="1">ROUND(D5*C19*C20*C24*F35,0)</f>
        <v>1470</v>
      </c>
      <c r="D35" s="1451"/>
      <c r="E35" s="1017">
        <f t="shared" ca="1" si="7"/>
        <v>0</v>
      </c>
      <c r="F35" s="1017">
        <f>SUMIF(修正!A45:A56,G2,修正!D45:D56)</f>
        <v>0.2</v>
      </c>
      <c r="G35" s="1017">
        <f ca="1">ROUND(IF(E2="工业",C35*$M$39,C35*$M$38),0)</f>
        <v>368</v>
      </c>
      <c r="H35" s="1017">
        <f t="shared" si="8"/>
        <v>0</v>
      </c>
      <c r="I35" s="1017">
        <f t="shared" ca="1" si="9"/>
        <v>0</v>
      </c>
      <c r="J35" s="3688"/>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689"/>
      <c r="B36" s="1368" t="s">
        <v>977</v>
      </c>
      <c r="C36" s="1028">
        <f ca="1">ROUND(D5*C19*C20*C24*F36,0)</f>
        <v>1470</v>
      </c>
      <c r="D36" s="1451"/>
      <c r="E36" s="1017">
        <f t="shared" ca="1" si="7"/>
        <v>0</v>
      </c>
      <c r="F36" s="1017">
        <f>SUMIF(修正!A45:A56,G2,修正!E45:E56)</f>
        <v>0.2</v>
      </c>
      <c r="G36" s="1017">
        <f ca="1">ROUND(IF(E2="工业",C36*$M$39,C36*$M$38),0)</f>
        <v>368</v>
      </c>
      <c r="H36" s="1017">
        <f t="shared" si="8"/>
        <v>0</v>
      </c>
      <c r="I36" s="1017">
        <f t="shared" ca="1" si="9"/>
        <v>0</v>
      </c>
      <c r="J36" s="3689"/>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1470</v>
      </c>
      <c r="D37" s="1451"/>
      <c r="E37" s="1017">
        <f t="shared" ca="1" si="7"/>
        <v>0</v>
      </c>
      <c r="F37" s="1028">
        <f>SUMIF(修正!A45:A56,G2,修正!F45:F56)</f>
        <v>0.2</v>
      </c>
      <c r="G37" s="1017">
        <f ca="1">ROUND(IF(E2="工业",C37*$M$39,C37*$M$38),0)</f>
        <v>368</v>
      </c>
      <c r="H37" s="1017">
        <f t="shared" si="8"/>
        <v>0</v>
      </c>
      <c r="I37" s="1017">
        <f t="shared" ca="1" si="9"/>
        <v>0</v>
      </c>
      <c r="J37" s="1439"/>
      <c r="K37" s="2041"/>
      <c r="L37" s="1457" t="s">
        <v>1677</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1679</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1678</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2917</v>
      </c>
      <c r="C41" s="810">
        <f ca="1">ROUND(POWER(1+E41,H41-G41)*(POWER(1+E41,G41)-1)/(POWER(1+E41,H41)-1),4)</f>
        <v>0</v>
      </c>
      <c r="D41" s="372" t="s">
        <v>2915</v>
      </c>
      <c r="E41" s="2798">
        <f ca="1">G20</f>
        <v>5.1999999999999998E-2</v>
      </c>
      <c r="F41" s="372" t="s">
        <v>2916</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2216</v>
      </c>
      <c r="G46" s="2257" t="s">
        <v>989</v>
      </c>
      <c r="H46" s="2240" t="s">
        <v>2379</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2874</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2873</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2379</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0.15</v>
      </c>
      <c r="G58" s="2241"/>
      <c r="H58" s="2286">
        <f>IFERROR(ROUNDDOWN($F$58*I58/2,4),"——")</f>
        <v>1.7999999999999999E-2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2.2499999999999999E-2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f t="shared" si="19"/>
        <v>6.0000000000000001E-3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f t="shared" si="19"/>
        <v>3.0000000000000001E-3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f t="shared" si="19"/>
        <v>3.7499999999999999E-3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2873</v>
      </c>
      <c r="C63" s="1019"/>
      <c r="D63" s="2243">
        <f t="shared" si="15"/>
        <v>0</v>
      </c>
      <c r="E63" s="2265"/>
      <c r="F63" s="2263"/>
      <c r="G63" s="2241"/>
      <c r="H63" s="2242">
        <f t="shared" si="19"/>
        <v>3.7499999999999999E-3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f t="shared" si="19"/>
        <v>4.4999999999999997E-3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f t="shared" si="19"/>
        <v>8.9999999999999993E-3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f t="shared" si="19"/>
        <v>4.4999999999999997E-3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2218</v>
      </c>
      <c r="G68" s="2257" t="s">
        <v>989</v>
      </c>
      <c r="H68" s="2240" t="s">
        <v>2379</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2873</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2219</v>
      </c>
      <c r="G79" s="2257" t="s">
        <v>989</v>
      </c>
      <c r="H79" s="2240" t="s">
        <v>2379</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2873</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696" t="s">
        <v>1608</v>
      </c>
      <c r="B90" s="3696"/>
      <c r="C90" s="3696"/>
      <c r="D90" s="3696"/>
      <c r="E90" s="3696"/>
      <c r="F90" s="3696"/>
      <c r="G90" s="3696"/>
      <c r="H90" s="3696"/>
      <c r="I90" s="3696"/>
      <c r="J90" s="3696"/>
      <c r="K90" s="2276"/>
      <c r="L90" s="2276"/>
      <c r="M90" s="2276"/>
      <c r="N90" s="2276"/>
    </row>
    <row r="91" spans="1:40">
      <c r="A91" s="3697" t="s">
        <v>1418</v>
      </c>
      <c r="B91" s="3697" t="s">
        <v>1609</v>
      </c>
      <c r="C91" s="1105" t="s">
        <v>1610</v>
      </c>
      <c r="D91" s="1106"/>
      <c r="E91" s="1106"/>
      <c r="F91" s="1106"/>
      <c r="G91" s="1106"/>
      <c r="H91" s="1106"/>
      <c r="I91" s="1106"/>
      <c r="J91" s="1107"/>
      <c r="K91" s="1099"/>
      <c r="L91" s="1099"/>
      <c r="M91" s="1099"/>
      <c r="N91" s="1099"/>
    </row>
    <row r="92" spans="1:40">
      <c r="A92" s="3697"/>
      <c r="B92" s="3697"/>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680" t="s">
        <v>2715</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8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8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8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8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8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8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68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680" t="s">
        <v>1612</v>
      </c>
      <c r="B101" s="1112" t="s">
        <v>881</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81"/>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81"/>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81"/>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81"/>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81"/>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81"/>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81"/>
      <c r="B108" s="368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682"/>
      <c r="B109" s="3684"/>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90" t="s">
        <v>1614</v>
      </c>
      <c r="B110" s="3690"/>
      <c r="C110" s="3690"/>
      <c r="D110" s="3690"/>
      <c r="E110" s="3690"/>
      <c r="F110" s="3690"/>
      <c r="G110" s="3690"/>
      <c r="H110" s="3690"/>
      <c r="I110" s="3690"/>
      <c r="J110" s="3690"/>
      <c r="K110" s="2274"/>
      <c r="L110" s="2274"/>
      <c r="M110" s="2274"/>
      <c r="N110" s="2274"/>
    </row>
    <row r="112" spans="1:14" ht="12.75" thickBot="1"/>
    <row r="113" spans="1:13" ht="25.5" thickBot="1">
      <c r="A113" s="985" t="s">
        <v>871</v>
      </c>
      <c r="B113" s="2277">
        <f>G3</f>
        <v>0</v>
      </c>
      <c r="C113" s="986" t="s">
        <v>872</v>
      </c>
      <c r="D113" s="987">
        <f>SUMPRODUCT((A115:A118=F113)*(B114:M114=H113)*B115:M118)</f>
        <v>0.76939999999999997</v>
      </c>
      <c r="E113" s="988" t="s">
        <v>873</v>
      </c>
      <c r="F113" s="989" t="str">
        <f>E2</f>
        <v>办公</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876</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877</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878</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2919</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1617</v>
      </c>
      <c r="D17" s="1094"/>
      <c r="E17" s="1033" t="s">
        <v>1420</v>
      </c>
      <c r="F17" s="1095"/>
      <c r="G17" s="1095"/>
    </row>
    <row r="18" spans="1:9" s="1504" customFormat="1" ht="19.5" customHeight="1">
      <c r="A18" s="3697" t="s">
        <v>982</v>
      </c>
      <c r="B18" s="1119" t="s">
        <v>1421</v>
      </c>
      <c r="C18" s="1096" t="s">
        <v>1422</v>
      </c>
      <c r="D18" s="1097"/>
      <c r="E18" s="1119">
        <v>1</v>
      </c>
      <c r="F18" s="1098" t="s">
        <v>1423</v>
      </c>
      <c r="G18" s="1099"/>
      <c r="H18" s="1070"/>
      <c r="I18" s="1070"/>
    </row>
    <row r="19" spans="1:9" s="1504" customFormat="1" ht="19.5" customHeight="1">
      <c r="A19" s="3697"/>
      <c r="B19" s="3697" t="s">
        <v>1424</v>
      </c>
      <c r="C19" s="1096" t="s">
        <v>1425</v>
      </c>
      <c r="D19" s="1097"/>
      <c r="E19" s="1119">
        <v>0.9</v>
      </c>
      <c r="F19" s="1098" t="s">
        <v>1426</v>
      </c>
      <c r="G19" s="1099"/>
      <c r="H19" s="1070"/>
      <c r="I19" s="1070"/>
    </row>
    <row r="20" spans="1:9" s="1504" customFormat="1" ht="19.5" customHeight="1">
      <c r="A20" s="3697"/>
      <c r="B20" s="3697"/>
      <c r="C20" s="1096" t="s">
        <v>1427</v>
      </c>
      <c r="D20" s="1097"/>
      <c r="E20" s="1119">
        <v>1.1000000000000001</v>
      </c>
      <c r="F20" s="1098" t="s">
        <v>1428</v>
      </c>
      <c r="G20" s="1099"/>
      <c r="H20" s="1070"/>
      <c r="I20" s="1070"/>
    </row>
    <row r="21" spans="1:9" s="1504" customFormat="1" ht="19.5" customHeight="1">
      <c r="A21" s="3697"/>
      <c r="B21" s="3697"/>
      <c r="C21" s="1096" t="s">
        <v>1429</v>
      </c>
      <c r="D21" s="1097"/>
      <c r="E21" s="1119">
        <v>0.8</v>
      </c>
      <c r="F21" s="1098" t="s">
        <v>1430</v>
      </c>
      <c r="G21" s="1099"/>
      <c r="H21" s="1070"/>
      <c r="I21" s="1070"/>
    </row>
    <row r="22" spans="1:9" s="1504" customFormat="1" ht="19.5" customHeight="1">
      <c r="A22" s="3697"/>
      <c r="B22" s="3697"/>
      <c r="C22" s="1096" t="s">
        <v>1431</v>
      </c>
      <c r="D22" s="1097"/>
      <c r="E22" s="1119">
        <v>0.5</v>
      </c>
      <c r="F22" s="1098"/>
      <c r="G22" s="1099"/>
      <c r="H22" s="1070"/>
      <c r="I22" s="1070"/>
    </row>
    <row r="23" spans="1:9" s="1504" customFormat="1" ht="19.5" customHeight="1">
      <c r="A23" s="3697" t="s">
        <v>1004</v>
      </c>
      <c r="B23" s="1119" t="s">
        <v>1421</v>
      </c>
      <c r="C23" s="1096" t="s">
        <v>1432</v>
      </c>
      <c r="D23" s="1097"/>
      <c r="E23" s="1119">
        <v>1</v>
      </c>
      <c r="F23" s="1098" t="s">
        <v>1433</v>
      </c>
      <c r="G23" s="1099"/>
      <c r="H23" s="1070"/>
      <c r="I23" s="1070"/>
    </row>
    <row r="24" spans="1:9" s="1504" customFormat="1" ht="19.5" customHeight="1">
      <c r="A24" s="3697"/>
      <c r="B24" s="3697" t="s">
        <v>1424</v>
      </c>
      <c r="C24" s="1096" t="s">
        <v>1434</v>
      </c>
      <c r="D24" s="1097"/>
      <c r="E24" s="1119">
        <v>0.5</v>
      </c>
      <c r="F24" s="1098"/>
      <c r="G24" s="1099"/>
      <c r="H24" s="1070"/>
      <c r="I24" s="1070"/>
    </row>
    <row r="25" spans="1:9" s="1504" customFormat="1" ht="19.5" customHeight="1">
      <c r="A25" s="3697"/>
      <c r="B25" s="3697"/>
      <c r="C25" s="1096" t="s">
        <v>1435</v>
      </c>
      <c r="D25" s="1097"/>
      <c r="E25" s="1119">
        <v>1.1000000000000001</v>
      </c>
      <c r="F25" s="1098"/>
      <c r="G25" s="1099"/>
      <c r="H25" s="1070"/>
      <c r="I25" s="1070"/>
    </row>
    <row r="26" spans="1:9" s="1504" customFormat="1" ht="19.5" customHeight="1">
      <c r="A26" s="3697"/>
      <c r="B26" s="3697"/>
      <c r="C26" s="1096" t="s">
        <v>1436</v>
      </c>
      <c r="D26" s="1097"/>
      <c r="E26" s="1119">
        <v>1.1000000000000001</v>
      </c>
      <c r="F26" s="1098"/>
      <c r="G26" s="1099"/>
      <c r="H26" s="1070"/>
      <c r="I26" s="1070"/>
    </row>
    <row r="27" spans="1:9" s="1504" customFormat="1" ht="19.5" customHeight="1">
      <c r="A27" s="3697"/>
      <c r="B27" s="3697"/>
      <c r="C27" s="1096" t="s">
        <v>1437</v>
      </c>
      <c r="D27" s="1097"/>
      <c r="E27" s="1119">
        <v>0.9</v>
      </c>
      <c r="F27" s="1098" t="s">
        <v>1438</v>
      </c>
      <c r="G27" s="1099"/>
      <c r="H27" s="1070"/>
      <c r="I27" s="1070"/>
    </row>
    <row r="28" spans="1:9" s="1504" customFormat="1" ht="19.5" customHeight="1">
      <c r="A28" s="3697"/>
      <c r="B28" s="3697"/>
      <c r="C28" s="1096" t="s">
        <v>1439</v>
      </c>
      <c r="D28" s="1097"/>
      <c r="E28" s="1119">
        <v>0.9</v>
      </c>
      <c r="F28" s="1098" t="s">
        <v>1440</v>
      </c>
      <c r="G28" s="1099"/>
      <c r="H28" s="1070"/>
      <c r="I28" s="1070"/>
    </row>
    <row r="29" spans="1:9" s="1504" customFormat="1" ht="19.5" customHeight="1">
      <c r="A29" s="3697"/>
      <c r="B29" s="3697"/>
      <c r="C29" s="1096" t="s">
        <v>1441</v>
      </c>
      <c r="D29" s="1097"/>
      <c r="E29" s="1119">
        <v>0.9</v>
      </c>
      <c r="F29" s="1098" t="s">
        <v>1442</v>
      </c>
      <c r="G29" s="1099"/>
      <c r="H29" s="1070"/>
      <c r="I29" s="1070"/>
    </row>
    <row r="30" spans="1:9" s="1504" customFormat="1" ht="19.5" customHeight="1">
      <c r="A30" s="3697"/>
      <c r="B30" s="3697"/>
      <c r="C30" s="1096" t="s">
        <v>1443</v>
      </c>
      <c r="D30" s="1097"/>
      <c r="E30" s="1119">
        <v>0.9</v>
      </c>
      <c r="F30" s="1098" t="s">
        <v>1444</v>
      </c>
      <c r="G30" s="1099"/>
      <c r="H30" s="1070"/>
      <c r="I30" s="1070"/>
    </row>
    <row r="31" spans="1:9" s="1504" customFormat="1" ht="19.5" customHeight="1">
      <c r="A31" s="3697"/>
      <c r="B31" s="3697"/>
      <c r="C31" s="1096" t="s">
        <v>1445</v>
      </c>
      <c r="D31" s="1097"/>
      <c r="E31" s="1119">
        <v>0.8</v>
      </c>
      <c r="F31" s="1098" t="s">
        <v>1446</v>
      </c>
      <c r="G31" s="1099"/>
      <c r="H31" s="1070"/>
      <c r="I31" s="1070"/>
    </row>
    <row r="32" spans="1:9" s="1504" customFormat="1" ht="19.5" customHeight="1">
      <c r="A32" s="3697"/>
      <c r="B32" s="3697"/>
      <c r="C32" s="1096" t="s">
        <v>1447</v>
      </c>
      <c r="D32" s="1097"/>
      <c r="E32" s="1119">
        <v>0.8</v>
      </c>
      <c r="F32" s="1098" t="s">
        <v>1448</v>
      </c>
      <c r="G32" s="1099"/>
      <c r="H32" s="1070"/>
      <c r="I32" s="1070"/>
    </row>
    <row r="33" spans="1:9" s="1504" customFormat="1" ht="19.5" customHeight="1">
      <c r="A33" s="3697" t="s">
        <v>1449</v>
      </c>
      <c r="B33" s="1119" t="s">
        <v>1421</v>
      </c>
      <c r="C33" s="1096" t="s">
        <v>1450</v>
      </c>
      <c r="D33" s="1097"/>
      <c r="E33" s="1119">
        <v>1</v>
      </c>
      <c r="F33" s="1098" t="s">
        <v>1451</v>
      </c>
      <c r="G33" s="1099"/>
      <c r="H33" s="1070"/>
      <c r="I33" s="1070"/>
    </row>
    <row r="34" spans="1:9" s="1504" customFormat="1" ht="19.5" customHeight="1">
      <c r="A34" s="3697"/>
      <c r="B34" s="1119" t="s">
        <v>1424</v>
      </c>
      <c r="C34" s="1096" t="s">
        <v>1452</v>
      </c>
      <c r="D34" s="1097"/>
      <c r="E34" s="1119">
        <v>1.5</v>
      </c>
      <c r="F34" s="1098" t="s">
        <v>1453</v>
      </c>
      <c r="G34" s="1099"/>
      <c r="H34" s="1070"/>
      <c r="I34" s="1070"/>
    </row>
    <row r="35" spans="1:9" s="1504" customFormat="1" ht="19.5" customHeight="1">
      <c r="A35" s="3697" t="s">
        <v>1407</v>
      </c>
      <c r="B35" s="1119" t="s">
        <v>1421</v>
      </c>
      <c r="C35" s="1096" t="s">
        <v>1454</v>
      </c>
      <c r="D35" s="1097"/>
      <c r="E35" s="1119">
        <v>1</v>
      </c>
      <c r="F35" s="1098" t="s">
        <v>1455</v>
      </c>
      <c r="G35" s="1099"/>
      <c r="H35" s="1070"/>
      <c r="I35" s="1070"/>
    </row>
    <row r="36" spans="1:9" s="1504" customFormat="1" ht="19.5" customHeight="1">
      <c r="A36" s="3697"/>
      <c r="B36" s="3697" t="s">
        <v>1424</v>
      </c>
      <c r="C36" s="1096" t="s">
        <v>1456</v>
      </c>
      <c r="D36" s="1097"/>
      <c r="E36" s="1119">
        <v>1</v>
      </c>
      <c r="F36" s="1098" t="s">
        <v>1457</v>
      </c>
      <c r="G36" s="1099"/>
      <c r="H36" s="1070"/>
      <c r="I36" s="1070"/>
    </row>
    <row r="37" spans="1:9" s="1504" customFormat="1" ht="19.5" customHeight="1">
      <c r="A37" s="3697"/>
      <c r="B37" s="3697"/>
      <c r="C37" s="1096" t="s">
        <v>1458</v>
      </c>
      <c r="D37" s="1097"/>
      <c r="E37" s="1119">
        <v>1.5</v>
      </c>
      <c r="F37" s="1098" t="s">
        <v>1459</v>
      </c>
      <c r="G37" s="1099"/>
      <c r="H37" s="1070"/>
      <c r="I37" s="1070"/>
    </row>
    <row r="38" spans="1:9" s="1504" customFormat="1" ht="19.5" customHeight="1">
      <c r="A38" s="3697"/>
      <c r="B38" s="3697"/>
      <c r="C38" s="1096" t="s">
        <v>1460</v>
      </c>
      <c r="D38" s="1097"/>
      <c r="E38" s="1119">
        <v>1</v>
      </c>
      <c r="F38" s="1098" t="s">
        <v>1461</v>
      </c>
      <c r="G38" s="1099"/>
      <c r="H38" s="1070"/>
      <c r="I38" s="1070"/>
    </row>
    <row r="39" spans="1:9" s="1504" customFormat="1" ht="19.5" customHeight="1">
      <c r="A39" s="3697"/>
      <c r="B39" s="3697"/>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697" t="s">
        <v>1476</v>
      </c>
      <c r="C61" s="1033" t="s">
        <v>1477</v>
      </c>
      <c r="D61" s="1033" t="s">
        <v>1478</v>
      </c>
      <c r="E61" s="1104">
        <v>0.5</v>
      </c>
      <c r="F61" s="1119">
        <v>80</v>
      </c>
      <c r="H61" s="1070">
        <f>SUMIF(C59:C119,基准地价办公!C8,E59:E119)</f>
        <v>0</v>
      </c>
    </row>
    <row r="62" spans="1:8" s="1070" customFormat="1" ht="24">
      <c r="A62" s="1119">
        <v>2</v>
      </c>
      <c r="B62" s="3697"/>
      <c r="C62" s="1033" t="s">
        <v>1479</v>
      </c>
      <c r="D62" s="1033" t="s">
        <v>1480</v>
      </c>
      <c r="E62" s="1104">
        <v>0.5</v>
      </c>
      <c r="F62" s="1119">
        <v>80</v>
      </c>
    </row>
    <row r="63" spans="1:8" s="1070" customFormat="1" ht="36">
      <c r="A63" s="1119">
        <v>3</v>
      </c>
      <c r="B63" s="3697"/>
      <c r="C63" s="1033" t="s">
        <v>1481</v>
      </c>
      <c r="D63" s="1033" t="s">
        <v>1482</v>
      </c>
      <c r="E63" s="1104">
        <v>0.5</v>
      </c>
      <c r="F63" s="1119">
        <v>80</v>
      </c>
    </row>
    <row r="64" spans="1:8" s="1070" customFormat="1" ht="36">
      <c r="A64" s="1119">
        <v>4</v>
      </c>
      <c r="B64" s="3697"/>
      <c r="C64" s="1033" t="s">
        <v>1483</v>
      </c>
      <c r="D64" s="1033" t="s">
        <v>1484</v>
      </c>
      <c r="E64" s="1104">
        <v>0.4</v>
      </c>
      <c r="F64" s="1119">
        <v>60</v>
      </c>
    </row>
    <row r="65" spans="1:6" s="1070" customFormat="1" ht="36">
      <c r="A65" s="1119">
        <v>5</v>
      </c>
      <c r="B65" s="3697"/>
      <c r="C65" s="1033" t="s">
        <v>1485</v>
      </c>
      <c r="D65" s="1033" t="s">
        <v>1486</v>
      </c>
      <c r="E65" s="1104">
        <v>0.2</v>
      </c>
      <c r="F65" s="1119">
        <v>30</v>
      </c>
    </row>
    <row r="66" spans="1:6" s="1070" customFormat="1" ht="36">
      <c r="A66" s="1119">
        <v>6</v>
      </c>
      <c r="B66" s="3697"/>
      <c r="C66" s="1033" t="s">
        <v>1487</v>
      </c>
      <c r="D66" s="1033" t="s">
        <v>1488</v>
      </c>
      <c r="E66" s="1104">
        <v>0.3</v>
      </c>
      <c r="F66" s="1119">
        <v>50</v>
      </c>
    </row>
    <row r="67" spans="1:6" s="1070" customFormat="1" ht="36">
      <c r="A67" s="1119">
        <v>7</v>
      </c>
      <c r="B67" s="3697"/>
      <c r="C67" s="1033" t="s">
        <v>1489</v>
      </c>
      <c r="D67" s="1033" t="s">
        <v>1490</v>
      </c>
      <c r="E67" s="1104">
        <v>0.2</v>
      </c>
      <c r="F67" s="1119">
        <v>30</v>
      </c>
    </row>
    <row r="68" spans="1:6" s="1070" customFormat="1" ht="36">
      <c r="A68" s="1119">
        <v>8</v>
      </c>
      <c r="B68" s="3697"/>
      <c r="C68" s="1033" t="s">
        <v>1491</v>
      </c>
      <c r="D68" s="1033" t="s">
        <v>1492</v>
      </c>
      <c r="E68" s="1104">
        <v>0.2</v>
      </c>
      <c r="F68" s="1119">
        <v>30</v>
      </c>
    </row>
    <row r="69" spans="1:6" s="1070" customFormat="1" ht="36">
      <c r="A69" s="1119">
        <v>9</v>
      </c>
      <c r="B69" s="3697"/>
      <c r="C69" s="1033" t="s">
        <v>1493</v>
      </c>
      <c r="D69" s="1033" t="s">
        <v>1494</v>
      </c>
      <c r="E69" s="1104">
        <v>0.2</v>
      </c>
      <c r="F69" s="1119">
        <v>30</v>
      </c>
    </row>
    <row r="70" spans="1:6" s="1070" customFormat="1" ht="48">
      <c r="A70" s="1119">
        <v>10</v>
      </c>
      <c r="B70" s="3697"/>
      <c r="C70" s="1033" t="s">
        <v>1495</v>
      </c>
      <c r="D70" s="1033" t="s">
        <v>1496</v>
      </c>
      <c r="E70" s="1104">
        <v>0.2</v>
      </c>
      <c r="F70" s="1119">
        <v>30</v>
      </c>
    </row>
    <row r="71" spans="1:6" s="1070" customFormat="1" ht="48">
      <c r="A71" s="1119">
        <v>11</v>
      </c>
      <c r="B71" s="3697"/>
      <c r="C71" s="1033" t="s">
        <v>1497</v>
      </c>
      <c r="D71" s="1033" t="s">
        <v>1498</v>
      </c>
      <c r="E71" s="1104">
        <v>0.2</v>
      </c>
      <c r="F71" s="1119">
        <v>30</v>
      </c>
    </row>
    <row r="72" spans="1:6" s="1070" customFormat="1" ht="36">
      <c r="A72" s="1119">
        <v>12</v>
      </c>
      <c r="B72" s="3697"/>
      <c r="C72" s="1033" t="s">
        <v>1499</v>
      </c>
      <c r="D72" s="1033" t="s">
        <v>1500</v>
      </c>
      <c r="E72" s="1104">
        <v>0.5</v>
      </c>
      <c r="F72" s="1119">
        <v>80</v>
      </c>
    </row>
    <row r="73" spans="1:6" s="1070" customFormat="1" ht="24">
      <c r="A73" s="1119">
        <v>13</v>
      </c>
      <c r="B73" s="3697"/>
      <c r="C73" s="1033" t="s">
        <v>1501</v>
      </c>
      <c r="D73" s="1033" t="s">
        <v>1502</v>
      </c>
      <c r="E73" s="1104">
        <v>0.4</v>
      </c>
      <c r="F73" s="1119">
        <v>60</v>
      </c>
    </row>
    <row r="74" spans="1:6" s="1070" customFormat="1" ht="24">
      <c r="A74" s="1119">
        <v>14</v>
      </c>
      <c r="B74" s="3697"/>
      <c r="C74" s="1033" t="s">
        <v>1503</v>
      </c>
      <c r="D74" s="1033" t="s">
        <v>1504</v>
      </c>
      <c r="E74" s="1104">
        <v>0.2</v>
      </c>
      <c r="F74" s="1119">
        <v>30</v>
      </c>
    </row>
    <row r="75" spans="1:6" s="1070" customFormat="1" ht="24">
      <c r="A75" s="1119">
        <v>15</v>
      </c>
      <c r="B75" s="3697"/>
      <c r="C75" s="1033" t="s">
        <v>1505</v>
      </c>
      <c r="D75" s="1033" t="s">
        <v>1506</v>
      </c>
      <c r="E75" s="1104">
        <v>0.2</v>
      </c>
      <c r="F75" s="1119">
        <v>30</v>
      </c>
    </row>
    <row r="76" spans="1:6" s="1070" customFormat="1" ht="24">
      <c r="A76" s="1119">
        <v>16</v>
      </c>
      <c r="B76" s="3697" t="s">
        <v>1507</v>
      </c>
      <c r="C76" s="1033" t="s">
        <v>1508</v>
      </c>
      <c r="D76" s="1033" t="s">
        <v>1509</v>
      </c>
      <c r="E76" s="1104">
        <v>0.5</v>
      </c>
      <c r="F76" s="1119">
        <v>80</v>
      </c>
    </row>
    <row r="77" spans="1:6" s="1070" customFormat="1" ht="24">
      <c r="A77" s="1119">
        <v>17</v>
      </c>
      <c r="B77" s="3697"/>
      <c r="C77" s="1033" t="s">
        <v>1510</v>
      </c>
      <c r="D77" s="1033" t="s">
        <v>1511</v>
      </c>
      <c r="E77" s="1104">
        <v>0.5</v>
      </c>
      <c r="F77" s="1119">
        <v>80</v>
      </c>
    </row>
    <row r="78" spans="1:6" s="1070" customFormat="1" ht="24">
      <c r="A78" s="1119">
        <v>18</v>
      </c>
      <c r="B78" s="3697"/>
      <c r="C78" s="1033" t="s">
        <v>1512</v>
      </c>
      <c r="D78" s="1033" t="s">
        <v>1513</v>
      </c>
      <c r="E78" s="1104">
        <v>0.2</v>
      </c>
      <c r="F78" s="1119">
        <v>30</v>
      </c>
    </row>
    <row r="79" spans="1:6" s="1070" customFormat="1" ht="24">
      <c r="A79" s="1119">
        <v>19</v>
      </c>
      <c r="B79" s="3697"/>
      <c r="C79" s="1033" t="s">
        <v>1514</v>
      </c>
      <c r="D79" s="1033" t="s">
        <v>1515</v>
      </c>
      <c r="E79" s="1104">
        <v>0.5</v>
      </c>
      <c r="F79" s="1119">
        <v>80</v>
      </c>
    </row>
    <row r="80" spans="1:6" s="1070" customFormat="1" ht="36">
      <c r="A80" s="1119">
        <v>20</v>
      </c>
      <c r="B80" s="3697"/>
      <c r="C80" s="1033" t="s">
        <v>1516</v>
      </c>
      <c r="D80" s="1033" t="s">
        <v>1517</v>
      </c>
      <c r="E80" s="1104">
        <v>0.2</v>
      </c>
      <c r="F80" s="1119">
        <v>30</v>
      </c>
    </row>
    <row r="81" spans="1:6" s="1070" customFormat="1" ht="36">
      <c r="A81" s="1119">
        <v>21</v>
      </c>
      <c r="B81" s="3697"/>
      <c r="C81" s="1033" t="s">
        <v>1518</v>
      </c>
      <c r="D81" s="1033" t="s">
        <v>1519</v>
      </c>
      <c r="E81" s="1104">
        <v>0.2</v>
      </c>
      <c r="F81" s="1119">
        <v>30</v>
      </c>
    </row>
    <row r="82" spans="1:6" s="1070" customFormat="1" ht="48">
      <c r="A82" s="1119">
        <v>22</v>
      </c>
      <c r="B82" s="3697"/>
      <c r="C82" s="1033" t="s">
        <v>1520</v>
      </c>
      <c r="D82" s="1033" t="s">
        <v>1521</v>
      </c>
      <c r="E82" s="1104">
        <v>0.2</v>
      </c>
      <c r="F82" s="1119">
        <v>30</v>
      </c>
    </row>
    <row r="83" spans="1:6" s="1070" customFormat="1" ht="48">
      <c r="A83" s="1119">
        <v>23</v>
      </c>
      <c r="B83" s="3697"/>
      <c r="C83" s="1033" t="s">
        <v>1522</v>
      </c>
      <c r="D83" s="1033" t="s">
        <v>1523</v>
      </c>
      <c r="E83" s="1104">
        <v>0.2</v>
      </c>
      <c r="F83" s="1119">
        <v>30</v>
      </c>
    </row>
    <row r="84" spans="1:6" s="1070" customFormat="1" ht="36">
      <c r="A84" s="1119">
        <v>24</v>
      </c>
      <c r="B84" s="3697"/>
      <c r="C84" s="1033" t="s">
        <v>1524</v>
      </c>
      <c r="D84" s="1033" t="s">
        <v>1525</v>
      </c>
      <c r="E84" s="1104">
        <v>0.2</v>
      </c>
      <c r="F84" s="1119">
        <v>30</v>
      </c>
    </row>
    <row r="85" spans="1:6" s="1070" customFormat="1" ht="36">
      <c r="A85" s="1119">
        <v>25</v>
      </c>
      <c r="B85" s="3697"/>
      <c r="C85" s="1033" t="s">
        <v>1526</v>
      </c>
      <c r="D85" s="1033" t="s">
        <v>1527</v>
      </c>
      <c r="E85" s="1104">
        <v>0.5</v>
      </c>
      <c r="F85" s="1119">
        <v>80</v>
      </c>
    </row>
    <row r="86" spans="1:6" s="1070" customFormat="1" ht="36">
      <c r="A86" s="1119">
        <v>26</v>
      </c>
      <c r="B86" s="3697"/>
      <c r="C86" s="1033" t="s">
        <v>1528</v>
      </c>
      <c r="D86" s="1033" t="s">
        <v>1529</v>
      </c>
      <c r="E86" s="1104">
        <v>0.2</v>
      </c>
      <c r="F86" s="1119">
        <v>30</v>
      </c>
    </row>
    <row r="87" spans="1:6" s="1070" customFormat="1" ht="36">
      <c r="A87" s="1119">
        <v>27</v>
      </c>
      <c r="B87" s="3697"/>
      <c r="C87" s="1033" t="s">
        <v>1530</v>
      </c>
      <c r="D87" s="1033" t="s">
        <v>1531</v>
      </c>
      <c r="E87" s="1104">
        <v>0.2</v>
      </c>
      <c r="F87" s="1119">
        <v>30</v>
      </c>
    </row>
    <row r="88" spans="1:6" s="1070" customFormat="1" ht="36">
      <c r="A88" s="1119">
        <v>28</v>
      </c>
      <c r="B88" s="3697"/>
      <c r="C88" s="1033" t="s">
        <v>1532</v>
      </c>
      <c r="D88" s="1033" t="s">
        <v>1533</v>
      </c>
      <c r="E88" s="1104">
        <v>0.2</v>
      </c>
      <c r="F88" s="1119">
        <v>30</v>
      </c>
    </row>
    <row r="89" spans="1:6" s="1070" customFormat="1" ht="24">
      <c r="A89" s="1119">
        <v>29</v>
      </c>
      <c r="B89" s="3697"/>
      <c r="C89" s="1033" t="s">
        <v>1534</v>
      </c>
      <c r="D89" s="1033" t="s">
        <v>1535</v>
      </c>
      <c r="E89" s="1104">
        <v>0.2</v>
      </c>
      <c r="F89" s="1119">
        <v>30</v>
      </c>
    </row>
    <row r="90" spans="1:6" s="1070" customFormat="1" ht="24">
      <c r="A90" s="1119">
        <v>30</v>
      </c>
      <c r="B90" s="3697"/>
      <c r="C90" s="1033" t="s">
        <v>1536</v>
      </c>
      <c r="D90" s="1033" t="s">
        <v>1537</v>
      </c>
      <c r="E90" s="1104">
        <v>0.2</v>
      </c>
      <c r="F90" s="1119">
        <v>30</v>
      </c>
    </row>
    <row r="91" spans="1:6" s="1070" customFormat="1" ht="36">
      <c r="A91" s="1119">
        <v>31</v>
      </c>
      <c r="B91" s="3697"/>
      <c r="C91" s="1033" t="s">
        <v>1538</v>
      </c>
      <c r="D91" s="1033" t="s">
        <v>1539</v>
      </c>
      <c r="E91" s="1104">
        <v>0.2</v>
      </c>
      <c r="F91" s="1119">
        <v>30</v>
      </c>
    </row>
    <row r="92" spans="1:6" s="1070" customFormat="1" ht="24">
      <c r="A92" s="1119">
        <v>32</v>
      </c>
      <c r="B92" s="3697" t="s">
        <v>1540</v>
      </c>
      <c r="C92" s="1119" t="s">
        <v>1541</v>
      </c>
      <c r="D92" s="1033" t="s">
        <v>1542</v>
      </c>
      <c r="E92" s="1104">
        <v>0.2</v>
      </c>
      <c r="F92" s="1119">
        <v>30</v>
      </c>
    </row>
    <row r="93" spans="1:6" s="1070" customFormat="1" ht="36">
      <c r="A93" s="1119">
        <v>33</v>
      </c>
      <c r="B93" s="3697"/>
      <c r="C93" s="1119" t="s">
        <v>1543</v>
      </c>
      <c r="D93" s="1033" t="s">
        <v>1544</v>
      </c>
      <c r="E93" s="1104">
        <v>0.2</v>
      </c>
      <c r="F93" s="1119">
        <v>30</v>
      </c>
    </row>
    <row r="94" spans="1:6" s="1070" customFormat="1" ht="48">
      <c r="A94" s="1119">
        <v>34</v>
      </c>
      <c r="B94" s="3697"/>
      <c r="C94" s="1119" t="s">
        <v>1545</v>
      </c>
      <c r="D94" s="1033" t="s">
        <v>1546</v>
      </c>
      <c r="E94" s="1104">
        <v>0.2</v>
      </c>
      <c r="F94" s="1119">
        <v>30</v>
      </c>
    </row>
    <row r="95" spans="1:6" s="1070" customFormat="1" ht="36">
      <c r="A95" s="1119">
        <v>35</v>
      </c>
      <c r="B95" s="3697"/>
      <c r="C95" s="1119" t="s">
        <v>1547</v>
      </c>
      <c r="D95" s="1033" t="s">
        <v>1548</v>
      </c>
      <c r="E95" s="1104">
        <v>0.2</v>
      </c>
      <c r="F95" s="1119">
        <v>30</v>
      </c>
    </row>
    <row r="96" spans="1:6" s="1070" customFormat="1" ht="48">
      <c r="A96" s="1119">
        <v>36</v>
      </c>
      <c r="B96" s="3697"/>
      <c r="C96" s="1033" t="s">
        <v>1549</v>
      </c>
      <c r="D96" s="1033" t="s">
        <v>1550</v>
      </c>
      <c r="E96" s="1104">
        <v>0.2</v>
      </c>
      <c r="F96" s="1119">
        <v>30</v>
      </c>
    </row>
    <row r="97" spans="1:6" s="1070" customFormat="1" ht="36">
      <c r="A97" s="1119">
        <v>37</v>
      </c>
      <c r="B97" s="3697"/>
      <c r="C97" s="1119" t="s">
        <v>1551</v>
      </c>
      <c r="D97" s="1033" t="s">
        <v>1552</v>
      </c>
      <c r="E97" s="1104">
        <v>0.2</v>
      </c>
      <c r="F97" s="1119">
        <v>30</v>
      </c>
    </row>
    <row r="98" spans="1:6" s="1070" customFormat="1" ht="36">
      <c r="A98" s="1119">
        <v>38</v>
      </c>
      <c r="B98" s="3697"/>
      <c r="C98" s="1119" t="s">
        <v>1553</v>
      </c>
      <c r="D98" s="1033" t="s">
        <v>1554</v>
      </c>
      <c r="E98" s="1104">
        <v>0.2</v>
      </c>
      <c r="F98" s="1119">
        <v>30</v>
      </c>
    </row>
    <row r="99" spans="1:6" s="1070" customFormat="1" ht="36">
      <c r="A99" s="1119">
        <v>39</v>
      </c>
      <c r="B99" s="3697" t="s">
        <v>1555</v>
      </c>
      <c r="C99" s="1119" t="s">
        <v>1556</v>
      </c>
      <c r="D99" s="1033" t="s">
        <v>1557</v>
      </c>
      <c r="E99" s="1104">
        <v>0.3</v>
      </c>
      <c r="F99" s="1119">
        <v>50</v>
      </c>
    </row>
    <row r="100" spans="1:6" s="1070" customFormat="1" ht="24">
      <c r="A100" s="1119">
        <v>40</v>
      </c>
      <c r="B100" s="3697"/>
      <c r="C100" s="1119" t="s">
        <v>1558</v>
      </c>
      <c r="D100" s="1033" t="s">
        <v>1559</v>
      </c>
      <c r="E100" s="1104">
        <v>0.2</v>
      </c>
      <c r="F100" s="1119">
        <v>30</v>
      </c>
    </row>
    <row r="101" spans="1:6" s="1070" customFormat="1" ht="36">
      <c r="A101" s="1119">
        <v>41</v>
      </c>
      <c r="B101" s="3697"/>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697" t="s">
        <v>1570</v>
      </c>
      <c r="C105" s="1119" t="s">
        <v>1571</v>
      </c>
      <c r="D105" s="1033" t="s">
        <v>1572</v>
      </c>
      <c r="E105" s="1104">
        <v>0.2</v>
      </c>
      <c r="F105" s="1119">
        <v>30</v>
      </c>
    </row>
    <row r="106" spans="1:6" s="1070" customFormat="1" ht="36">
      <c r="A106" s="1119">
        <v>46</v>
      </c>
      <c r="B106" s="3697"/>
      <c r="C106" s="1119" t="s">
        <v>1573</v>
      </c>
      <c r="D106" s="1033" t="s">
        <v>1574</v>
      </c>
      <c r="E106" s="1104">
        <v>0.2</v>
      </c>
      <c r="F106" s="1119">
        <v>30</v>
      </c>
    </row>
    <row r="107" spans="1:6" s="1070" customFormat="1" ht="36">
      <c r="A107" s="1119">
        <v>47</v>
      </c>
      <c r="B107" s="3697" t="s">
        <v>1575</v>
      </c>
      <c r="C107" s="1119" t="s">
        <v>1576</v>
      </c>
      <c r="D107" s="1033" t="s">
        <v>1577</v>
      </c>
      <c r="E107" s="1104">
        <v>0.3</v>
      </c>
      <c r="F107" s="1119">
        <v>50</v>
      </c>
    </row>
    <row r="108" spans="1:6" s="1070" customFormat="1" ht="36">
      <c r="A108" s="1119">
        <v>48</v>
      </c>
      <c r="B108" s="3697"/>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697" t="s">
        <v>1586</v>
      </c>
      <c r="C111" s="1119" t="s">
        <v>1587</v>
      </c>
      <c r="D111" s="1033" t="s">
        <v>1588</v>
      </c>
      <c r="E111" s="1104">
        <v>0.2</v>
      </c>
      <c r="F111" s="1119">
        <v>30</v>
      </c>
    </row>
    <row r="112" spans="1:6" s="1070" customFormat="1" ht="24">
      <c r="A112" s="1119">
        <v>52</v>
      </c>
      <c r="B112" s="3697"/>
      <c r="C112" s="1119" t="s">
        <v>1589</v>
      </c>
      <c r="D112" s="1033" t="s">
        <v>1590</v>
      </c>
      <c r="E112" s="1104">
        <v>0.2</v>
      </c>
      <c r="F112" s="1119">
        <v>30</v>
      </c>
    </row>
    <row r="113" spans="1:14" s="1070" customFormat="1" ht="24">
      <c r="A113" s="1119">
        <v>53</v>
      </c>
      <c r="B113" s="3697"/>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697" t="s">
        <v>1599</v>
      </c>
      <c r="C116" s="1119" t="s">
        <v>1600</v>
      </c>
      <c r="D116" s="1033" t="s">
        <v>1601</v>
      </c>
      <c r="E116" s="1104">
        <v>0.2</v>
      </c>
      <c r="F116" s="1119">
        <v>30</v>
      </c>
    </row>
    <row r="117" spans="1:14" ht="36">
      <c r="A117" s="1119">
        <v>57</v>
      </c>
      <c r="B117" s="3697"/>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696" t="s">
        <v>1608</v>
      </c>
      <c r="B121" s="3696"/>
      <c r="C121" s="3696"/>
      <c r="D121" s="3696"/>
      <c r="E121" s="3696"/>
      <c r="F121" s="3696"/>
      <c r="G121" s="3696"/>
      <c r="H121" s="3696"/>
      <c r="I121" s="3696"/>
      <c r="J121" s="3696"/>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698" t="s">
        <v>1014</v>
      </c>
      <c r="B1" s="3698"/>
      <c r="C1" s="3698"/>
      <c r="D1" s="3698"/>
      <c r="E1" s="3698"/>
      <c r="F1" s="3698"/>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699" t="s">
        <v>1027</v>
      </c>
      <c r="B2" s="3699"/>
      <c r="C2" s="3699"/>
      <c r="D2" s="3699"/>
      <c r="E2" s="3699"/>
      <c r="F2" s="3699"/>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00"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01"/>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5250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2383</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2384</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02" t="s">
        <v>2045</v>
      </c>
      <c r="B1" s="3702"/>
    </row>
    <row r="2" spans="1:6" ht="14.25" thickBot="1">
      <c r="A2" s="1738"/>
      <c r="B2" s="1738"/>
    </row>
    <row r="3" spans="1:6" ht="14.25" thickBot="1">
      <c r="A3" s="1738"/>
      <c r="B3" s="1738"/>
      <c r="C3" s="1739" t="s">
        <v>2046</v>
      </c>
      <c r="D3" s="1739" t="s">
        <v>2047</v>
      </c>
      <c r="E3" s="1739" t="s">
        <v>2048</v>
      </c>
      <c r="F3" s="1739" t="s">
        <v>2049</v>
      </c>
    </row>
    <row r="4" spans="1:6" ht="14.25" thickBot="1">
      <c r="A4" s="1740" t="s">
        <v>2050</v>
      </c>
      <c r="B4" s="1741" t="s">
        <v>2051</v>
      </c>
      <c r="C4" s="1739"/>
      <c r="D4" s="1739"/>
      <c r="E4" s="1739"/>
      <c r="F4" s="1739"/>
    </row>
    <row r="5" spans="1:6" ht="14.25" thickBot="1">
      <c r="A5" s="1742" t="s">
        <v>2052</v>
      </c>
      <c r="B5" s="1743" t="s">
        <v>2053</v>
      </c>
      <c r="C5" s="1744">
        <v>8.8999999999999996E-2</v>
      </c>
      <c r="D5" s="1744">
        <v>7.3999999999999996E-2</v>
      </c>
      <c r="E5" s="1744">
        <v>7.4999999999999997E-2</v>
      </c>
      <c r="F5" s="1745">
        <v>0.1</v>
      </c>
    </row>
    <row r="6" spans="1:6" ht="14.25" thickBot="1">
      <c r="A6" s="1742" t="s">
        <v>1071</v>
      </c>
      <c r="B6" s="1746" t="s">
        <v>2054</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2055</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2056</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2057</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2058</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2059</v>
      </c>
      <c r="C72" s="1756"/>
      <c r="D72" s="1756"/>
      <c r="E72" s="1756"/>
      <c r="F72" s="1748">
        <v>0.05</v>
      </c>
    </row>
    <row r="73" spans="1:6" ht="14.25" thickBot="1">
      <c r="A73" s="1742" t="s">
        <v>900</v>
      </c>
      <c r="B73" s="1746" t="s">
        <v>2060</v>
      </c>
      <c r="C73" s="1756"/>
      <c r="D73" s="1756"/>
      <c r="E73" s="1756"/>
      <c r="F73" s="1748">
        <v>0.05</v>
      </c>
    </row>
    <row r="74" spans="1:6" ht="14.25" thickBot="1">
      <c r="A74" s="1742" t="s">
        <v>900</v>
      </c>
      <c r="B74" s="1746" t="s">
        <v>2061</v>
      </c>
      <c r="C74" s="1756"/>
      <c r="D74" s="1756"/>
      <c r="E74" s="1756"/>
      <c r="F74" s="1748">
        <v>0.05</v>
      </c>
    </row>
    <row r="75" spans="1:6" ht="14.25" thickBot="1">
      <c r="A75" s="1750" t="s">
        <v>900</v>
      </c>
      <c r="B75" s="1757" t="s">
        <v>2062</v>
      </c>
      <c r="C75" s="1753"/>
      <c r="D75" s="1753"/>
      <c r="E75" s="1753"/>
      <c r="F75" s="1758">
        <v>0.05</v>
      </c>
    </row>
    <row r="76" spans="1:6" ht="14.25" thickBot="1">
      <c r="A76" s="1742" t="s">
        <v>1382</v>
      </c>
      <c r="B76" s="1743" t="s">
        <v>2063</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2064</v>
      </c>
      <c r="C102" s="1756"/>
      <c r="D102" s="1756"/>
      <c r="E102" s="1756"/>
      <c r="F102" s="1748">
        <v>0.05</v>
      </c>
    </row>
    <row r="103" spans="1:6" ht="24.75" thickBot="1">
      <c r="A103" s="1742" t="s">
        <v>1382</v>
      </c>
      <c r="B103" s="1746" t="s">
        <v>2065</v>
      </c>
      <c r="C103" s="1756"/>
      <c r="D103" s="1756"/>
      <c r="E103" s="1756"/>
      <c r="F103" s="1748">
        <v>0.05</v>
      </c>
    </row>
    <row r="104" spans="1:6" ht="14.25" thickBot="1">
      <c r="A104" s="1742" t="s">
        <v>1382</v>
      </c>
      <c r="B104" s="1746" t="s">
        <v>2066</v>
      </c>
      <c r="C104" s="1756"/>
      <c r="D104" s="1756"/>
      <c r="E104" s="1756"/>
      <c r="F104" s="1748">
        <v>0.05</v>
      </c>
    </row>
    <row r="105" spans="1:6" ht="14.25" thickBot="1">
      <c r="A105" s="1742" t="s">
        <v>1382</v>
      </c>
      <c r="B105" s="1746" t="s">
        <v>2067</v>
      </c>
      <c r="C105" s="1756"/>
      <c r="D105" s="1756"/>
      <c r="E105" s="1756"/>
      <c r="F105" s="1748">
        <v>0.05</v>
      </c>
    </row>
    <row r="106" spans="1:6" ht="14.25" thickBot="1">
      <c r="A106" s="1742" t="s">
        <v>1382</v>
      </c>
      <c r="B106" s="1746" t="s">
        <v>2068</v>
      </c>
      <c r="C106" s="1756"/>
      <c r="D106" s="1756"/>
      <c r="E106" s="1756"/>
      <c r="F106" s="1748">
        <v>0.05</v>
      </c>
    </row>
    <row r="107" spans="1:6" ht="24.75" thickBot="1">
      <c r="A107" s="1742" t="s">
        <v>1382</v>
      </c>
      <c r="B107" s="1746" t="s">
        <v>2069</v>
      </c>
      <c r="C107" s="1756"/>
      <c r="D107" s="1756"/>
      <c r="E107" s="1756"/>
      <c r="F107" s="1748">
        <v>0.05</v>
      </c>
    </row>
    <row r="108" spans="1:6" ht="24.75" thickBot="1">
      <c r="A108" s="1742" t="s">
        <v>1382</v>
      </c>
      <c r="B108" s="1746" t="s">
        <v>2070</v>
      </c>
      <c r="C108" s="1756"/>
      <c r="D108" s="1756"/>
      <c r="E108" s="1756"/>
      <c r="F108" s="1748">
        <v>0.05</v>
      </c>
    </row>
    <row r="109" spans="1:6" ht="24.75" thickBot="1">
      <c r="A109" s="1750" t="s">
        <v>1382</v>
      </c>
      <c r="B109" s="1757" t="s">
        <v>2071</v>
      </c>
      <c r="C109" s="1753"/>
      <c r="D109" s="1753"/>
      <c r="E109" s="1753"/>
      <c r="F109" s="1758">
        <v>0.05</v>
      </c>
    </row>
    <row r="110" spans="1:6" ht="14.25" thickBot="1">
      <c r="A110" s="1742" t="s">
        <v>1384</v>
      </c>
      <c r="B110" s="1743" t="s">
        <v>2072</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2073</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2074</v>
      </c>
      <c r="C138" s="1747">
        <v>0.105</v>
      </c>
      <c r="D138" s="1747">
        <v>0.125</v>
      </c>
      <c r="E138" s="1747">
        <v>0.112</v>
      </c>
      <c r="F138" s="1755"/>
    </row>
    <row r="139" spans="1:6" ht="14.25" thickBot="1">
      <c r="A139" s="1742" t="s">
        <v>1384</v>
      </c>
      <c r="B139" s="1746" t="s">
        <v>2075</v>
      </c>
      <c r="C139" s="1747">
        <v>0.127</v>
      </c>
      <c r="D139" s="1747">
        <v>0.127</v>
      </c>
      <c r="E139" s="1747">
        <v>0.122</v>
      </c>
      <c r="F139" s="1748">
        <v>0.13</v>
      </c>
    </row>
    <row r="140" spans="1:6" ht="14.25" thickBot="1">
      <c r="A140" s="1742" t="s">
        <v>1384</v>
      </c>
      <c r="B140" s="1746" t="s">
        <v>2076</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2077</v>
      </c>
      <c r="C144" s="1760">
        <v>0.126</v>
      </c>
      <c r="D144" s="1760">
        <v>0.126</v>
      </c>
      <c r="E144" s="1760">
        <v>0.121</v>
      </c>
      <c r="F144" s="1755"/>
    </row>
    <row r="145" spans="1:6" ht="14.25" thickBot="1">
      <c r="A145" s="1750" t="s">
        <v>1384</v>
      </c>
      <c r="B145" s="1761" t="s">
        <v>2078</v>
      </c>
      <c r="C145" s="1762"/>
      <c r="D145" s="1762"/>
      <c r="E145" s="1762"/>
      <c r="F145" s="1763">
        <v>0.05</v>
      </c>
    </row>
    <row r="146" spans="1:6" ht="24.75" thickBot="1">
      <c r="A146" s="1764" t="s">
        <v>1384</v>
      </c>
      <c r="B146" s="1749" t="s">
        <v>2079</v>
      </c>
      <c r="C146" s="1756"/>
      <c r="D146" s="1756"/>
      <c r="E146" s="1756"/>
      <c r="F146" s="1765">
        <v>0.05</v>
      </c>
    </row>
    <row r="147" spans="1:6" ht="24.75" thickBot="1">
      <c r="A147" s="1742" t="s">
        <v>1384</v>
      </c>
      <c r="B147" s="1746" t="s">
        <v>2080</v>
      </c>
      <c r="C147" s="1756"/>
      <c r="D147" s="1756"/>
      <c r="E147" s="1756"/>
      <c r="F147" s="1748">
        <v>0.05</v>
      </c>
    </row>
    <row r="148" spans="1:6" ht="24.75" thickBot="1">
      <c r="A148" s="1742" t="s">
        <v>1384</v>
      </c>
      <c r="B148" s="1746" t="s">
        <v>2081</v>
      </c>
      <c r="C148" s="1756"/>
      <c r="D148" s="1756"/>
      <c r="E148" s="1756"/>
      <c r="F148" s="1748">
        <v>0.05</v>
      </c>
    </row>
    <row r="149" spans="1:6" ht="24.75" thickBot="1">
      <c r="A149" s="1742" t="s">
        <v>1384</v>
      </c>
      <c r="B149" s="1746" t="s">
        <v>2082</v>
      </c>
      <c r="C149" s="1756"/>
      <c r="D149" s="1756"/>
      <c r="E149" s="1756"/>
      <c r="F149" s="1748">
        <v>0.05</v>
      </c>
    </row>
    <row r="150" spans="1:6" ht="24.75" thickBot="1">
      <c r="A150" s="1742" t="s">
        <v>1384</v>
      </c>
      <c r="B150" s="1746" t="s">
        <v>2083</v>
      </c>
      <c r="C150" s="1756"/>
      <c r="D150" s="1756"/>
      <c r="E150" s="1756"/>
      <c r="F150" s="1748">
        <v>0.05</v>
      </c>
    </row>
    <row r="151" spans="1:6" ht="24.75" thickBot="1">
      <c r="A151" s="1742" t="s">
        <v>1384</v>
      </c>
      <c r="B151" s="1746" t="s">
        <v>2084</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2085</v>
      </c>
      <c r="C153" s="1756"/>
      <c r="D153" s="1756"/>
      <c r="E153" s="1756"/>
      <c r="F153" s="1748">
        <v>0.05</v>
      </c>
    </row>
    <row r="154" spans="1:6" ht="14.25" thickBot="1">
      <c r="A154" s="1742" t="s">
        <v>1384</v>
      </c>
      <c r="B154" s="1746" t="s">
        <v>2086</v>
      </c>
      <c r="C154" s="1756"/>
      <c r="D154" s="1756"/>
      <c r="E154" s="1756"/>
      <c r="F154" s="1748">
        <v>0.05</v>
      </c>
    </row>
    <row r="155" spans="1:6" ht="24.75" thickBot="1">
      <c r="A155" s="1742" t="s">
        <v>1384</v>
      </c>
      <c r="B155" s="1746" t="s">
        <v>2087</v>
      </c>
      <c r="C155" s="1756"/>
      <c r="D155" s="1756"/>
      <c r="E155" s="1756"/>
      <c r="F155" s="1748">
        <v>0.05</v>
      </c>
    </row>
    <row r="156" spans="1:6" ht="24.75" thickBot="1">
      <c r="A156" s="1742" t="s">
        <v>1384</v>
      </c>
      <c r="B156" s="1746" t="s">
        <v>2088</v>
      </c>
      <c r="C156" s="1756"/>
      <c r="D156" s="1756"/>
      <c r="E156" s="1756"/>
      <c r="F156" s="1748">
        <v>0.05</v>
      </c>
    </row>
    <row r="157" spans="1:6" ht="14.25" thickBot="1">
      <c r="A157" s="1750" t="s">
        <v>1384</v>
      </c>
      <c r="B157" s="1757" t="s">
        <v>2089</v>
      </c>
      <c r="C157" s="1753"/>
      <c r="D157" s="1753"/>
      <c r="E157" s="1753"/>
      <c r="F157" s="1758">
        <v>0.05</v>
      </c>
    </row>
    <row r="158" spans="1:6" ht="14.25" thickBot="1">
      <c r="A158" s="1742" t="s">
        <v>1386</v>
      </c>
      <c r="B158" s="1743" t="s">
        <v>2090</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2091</v>
      </c>
      <c r="C171" s="1747">
        <v>0.127</v>
      </c>
      <c r="D171" s="1747">
        <v>0.126</v>
      </c>
      <c r="E171" s="1747">
        <v>0.126</v>
      </c>
      <c r="F171" s="1748">
        <v>0.11799999999999999</v>
      </c>
    </row>
    <row r="172" spans="1:6" ht="14.25" thickBot="1">
      <c r="A172" s="1742" t="s">
        <v>1386</v>
      </c>
      <c r="B172" s="1746" t="s">
        <v>2092</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2093</v>
      </c>
      <c r="C174" s="1747">
        <v>0.13</v>
      </c>
      <c r="D174" s="1747">
        <v>0.13</v>
      </c>
      <c r="E174" s="1747">
        <v>0.13</v>
      </c>
      <c r="F174" s="1748">
        <v>0.13</v>
      </c>
    </row>
    <row r="175" spans="1:6" ht="14.25" thickBot="1">
      <c r="A175" s="1742" t="s">
        <v>1386</v>
      </c>
      <c r="B175" s="1746" t="s">
        <v>2094</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2095</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2096</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2097</v>
      </c>
      <c r="C185" s="1747">
        <v>0.127</v>
      </c>
      <c r="D185" s="1747">
        <v>0.127</v>
      </c>
      <c r="E185" s="1747">
        <v>0.128</v>
      </c>
      <c r="F185" s="1748">
        <v>0.13</v>
      </c>
    </row>
    <row r="186" spans="1:6" ht="24.75" thickBot="1">
      <c r="A186" s="1742" t="s">
        <v>1386</v>
      </c>
      <c r="B186" s="1746" t="s">
        <v>2098</v>
      </c>
      <c r="C186" s="1756"/>
      <c r="D186" s="1756"/>
      <c r="E186" s="1756"/>
      <c r="F186" s="1748">
        <v>0.05</v>
      </c>
    </row>
    <row r="187" spans="1:6" ht="14.25" thickBot="1">
      <c r="A187" s="1742" t="s">
        <v>1386</v>
      </c>
      <c r="B187" s="1746" t="s">
        <v>2099</v>
      </c>
      <c r="C187" s="1756"/>
      <c r="D187" s="1756"/>
      <c r="E187" s="1756"/>
      <c r="F187" s="1748">
        <v>0.05</v>
      </c>
    </row>
    <row r="188" spans="1:6" ht="14.25" thickBot="1">
      <c r="A188" s="1742" t="s">
        <v>1386</v>
      </c>
      <c r="B188" s="1746" t="s">
        <v>2100</v>
      </c>
      <c r="C188" s="1756"/>
      <c r="D188" s="1756"/>
      <c r="E188" s="1756"/>
      <c r="F188" s="1748">
        <v>0.05</v>
      </c>
    </row>
    <row r="189" spans="1:6" ht="24.75" thickBot="1">
      <c r="A189" s="1742" t="s">
        <v>1386</v>
      </c>
      <c r="B189" s="1746" t="s">
        <v>2101</v>
      </c>
      <c r="C189" s="1756"/>
      <c r="D189" s="1756"/>
      <c r="E189" s="1756"/>
      <c r="F189" s="1748">
        <v>0.05</v>
      </c>
    </row>
    <row r="190" spans="1:6" ht="24.75" thickBot="1">
      <c r="A190" s="1742" t="s">
        <v>1386</v>
      </c>
      <c r="B190" s="1746" t="s">
        <v>2102</v>
      </c>
      <c r="C190" s="1756"/>
      <c r="D190" s="1756"/>
      <c r="E190" s="1756"/>
      <c r="F190" s="1748">
        <v>0.05</v>
      </c>
    </row>
    <row r="191" spans="1:6" ht="24.75" thickBot="1">
      <c r="A191" s="1742" t="s">
        <v>1386</v>
      </c>
      <c r="B191" s="1746" t="s">
        <v>2103</v>
      </c>
      <c r="C191" s="1756"/>
      <c r="D191" s="1756"/>
      <c r="E191" s="1756"/>
      <c r="F191" s="1748">
        <v>0.05</v>
      </c>
    </row>
    <row r="192" spans="1:6" ht="24.75" thickBot="1">
      <c r="A192" s="1742" t="s">
        <v>1386</v>
      </c>
      <c r="B192" s="1746" t="s">
        <v>2104</v>
      </c>
      <c r="C192" s="1756"/>
      <c r="D192" s="1756"/>
      <c r="E192" s="1756"/>
      <c r="F192" s="1748">
        <v>0.05</v>
      </c>
    </row>
    <row r="193" spans="1:6" ht="24.75" thickBot="1">
      <c r="A193" s="1742" t="s">
        <v>1386</v>
      </c>
      <c r="B193" s="1746" t="s">
        <v>2105</v>
      </c>
      <c r="C193" s="1756"/>
      <c r="D193" s="1756"/>
      <c r="E193" s="1756"/>
      <c r="F193" s="1748">
        <v>0.05</v>
      </c>
    </row>
    <row r="194" spans="1:6" ht="24.75" thickBot="1">
      <c r="A194" s="1742" t="s">
        <v>1386</v>
      </c>
      <c r="B194" s="1746" t="s">
        <v>2106</v>
      </c>
      <c r="C194" s="1756"/>
      <c r="D194" s="1756"/>
      <c r="E194" s="1756"/>
      <c r="F194" s="1748">
        <v>0.05</v>
      </c>
    </row>
    <row r="195" spans="1:6" ht="14.25" thickBot="1">
      <c r="A195" s="1742" t="s">
        <v>1386</v>
      </c>
      <c r="B195" s="1746" t="s">
        <v>2107</v>
      </c>
      <c r="C195" s="1756"/>
      <c r="D195" s="1756"/>
      <c r="E195" s="1756"/>
      <c r="F195" s="1748">
        <v>0.05</v>
      </c>
    </row>
    <row r="196" spans="1:6" ht="24.75" thickBot="1">
      <c r="A196" s="1742" t="s">
        <v>1386</v>
      </c>
      <c r="B196" s="1746" t="s">
        <v>2108</v>
      </c>
      <c r="C196" s="1756"/>
      <c r="D196" s="1756"/>
      <c r="E196" s="1756"/>
      <c r="F196" s="1748">
        <v>0.05</v>
      </c>
    </row>
    <row r="197" spans="1:6" ht="24.75" thickBot="1">
      <c r="A197" s="1742" t="s">
        <v>1386</v>
      </c>
      <c r="B197" s="1746" t="s">
        <v>2109</v>
      </c>
      <c r="C197" s="1756"/>
      <c r="D197" s="1756"/>
      <c r="E197" s="1756"/>
      <c r="F197" s="1748">
        <v>0.05</v>
      </c>
    </row>
    <row r="198" spans="1:6" ht="24.75" thickBot="1">
      <c r="A198" s="1742" t="s">
        <v>1386</v>
      </c>
      <c r="B198" s="1746" t="s">
        <v>2110</v>
      </c>
      <c r="C198" s="1756"/>
      <c r="D198" s="1756"/>
      <c r="E198" s="1756"/>
      <c r="F198" s="1748">
        <v>0.05</v>
      </c>
    </row>
    <row r="199" spans="1:6" ht="24.75" thickBot="1">
      <c r="A199" s="1742" t="s">
        <v>1386</v>
      </c>
      <c r="B199" s="1746" t="s">
        <v>2111</v>
      </c>
      <c r="C199" s="1756"/>
      <c r="D199" s="1756"/>
      <c r="E199" s="1756"/>
      <c r="F199" s="1748">
        <v>0.05</v>
      </c>
    </row>
    <row r="200" spans="1:6" ht="24.75" thickBot="1">
      <c r="A200" s="1742" t="s">
        <v>1386</v>
      </c>
      <c r="B200" s="1746" t="s">
        <v>2112</v>
      </c>
      <c r="C200" s="1756"/>
      <c r="D200" s="1756"/>
      <c r="E200" s="1756"/>
      <c r="F200" s="1748">
        <v>0.05</v>
      </c>
    </row>
    <row r="201" spans="1:6" ht="24.75" thickBot="1">
      <c r="A201" s="1742" t="s">
        <v>1386</v>
      </c>
      <c r="B201" s="1746" t="s">
        <v>2113</v>
      </c>
      <c r="C201" s="1756"/>
      <c r="D201" s="1756"/>
      <c r="E201" s="1756"/>
      <c r="F201" s="1748">
        <v>0.05</v>
      </c>
    </row>
    <row r="202" spans="1:6" ht="24.75" thickBot="1">
      <c r="A202" s="1742" t="s">
        <v>1386</v>
      </c>
      <c r="B202" s="1746" t="s">
        <v>2114</v>
      </c>
      <c r="C202" s="1756"/>
      <c r="D202" s="1756"/>
      <c r="E202" s="1756"/>
      <c r="F202" s="1748">
        <v>0.05</v>
      </c>
    </row>
    <row r="203" spans="1:6" ht="24.75" thickBot="1">
      <c r="A203" s="1742" t="s">
        <v>1386</v>
      </c>
      <c r="B203" s="1746" t="s">
        <v>2115</v>
      </c>
      <c r="C203" s="1756"/>
      <c r="D203" s="1756"/>
      <c r="E203" s="1756"/>
      <c r="F203" s="1748">
        <v>0.05</v>
      </c>
    </row>
    <row r="204" spans="1:6" ht="14.25" thickBot="1">
      <c r="A204" s="1742" t="s">
        <v>1386</v>
      </c>
      <c r="B204" s="1746" t="s">
        <v>2116</v>
      </c>
      <c r="C204" s="1756"/>
      <c r="D204" s="1756"/>
      <c r="E204" s="1756"/>
      <c r="F204" s="1748">
        <v>0.05</v>
      </c>
    </row>
    <row r="205" spans="1:6" ht="14.25" thickBot="1">
      <c r="A205" s="1750" t="s">
        <v>1386</v>
      </c>
      <c r="B205" s="1757" t="s">
        <v>2117</v>
      </c>
      <c r="C205" s="1753"/>
      <c r="D205" s="1753"/>
      <c r="E205" s="1753"/>
      <c r="F205" s="1758">
        <v>0.05</v>
      </c>
    </row>
    <row r="206" spans="1:6" ht="14.25" thickBot="1">
      <c r="A206" s="1742" t="s">
        <v>1388</v>
      </c>
      <c r="B206" s="1743" t="s">
        <v>2118</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2119</v>
      </c>
      <c r="C210" s="1747">
        <v>0.15</v>
      </c>
      <c r="D210" s="1747">
        <v>0.15</v>
      </c>
      <c r="E210" s="1747">
        <v>0.15</v>
      </c>
      <c r="F210" s="1748">
        <v>0.13800000000000001</v>
      </c>
    </row>
    <row r="211" spans="1:6" ht="14.25" thickBot="1">
      <c r="A211" s="1742" t="s">
        <v>1388</v>
      </c>
      <c r="B211" s="1746" t="s">
        <v>2120</v>
      </c>
      <c r="C211" s="1747">
        <v>0.13700000000000001</v>
      </c>
      <c r="D211" s="1747">
        <v>0.13500000000000001</v>
      </c>
      <c r="E211" s="1747">
        <v>0.13600000000000001</v>
      </c>
      <c r="F211" s="1748">
        <v>0.1</v>
      </c>
    </row>
    <row r="212" spans="1:6" ht="14.25" thickBot="1">
      <c r="A212" s="1742" t="s">
        <v>1388</v>
      </c>
      <c r="B212" s="1746" t="s">
        <v>2121</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2122</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2123</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2124</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2125</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2126</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2127</v>
      </c>
      <c r="C231" s="1747">
        <v>0.128</v>
      </c>
      <c r="D231" s="1747">
        <v>0.125</v>
      </c>
      <c r="E231" s="1747">
        <v>0.13200000000000001</v>
      </c>
      <c r="F231" s="1755"/>
    </row>
    <row r="232" spans="1:6" ht="14.25" thickBot="1">
      <c r="A232" s="1742" t="s">
        <v>1388</v>
      </c>
      <c r="B232" s="1746" t="s">
        <v>2128</v>
      </c>
      <c r="C232" s="1747">
        <v>0.14499999999999999</v>
      </c>
      <c r="D232" s="1747">
        <v>0.14399999999999999</v>
      </c>
      <c r="E232" s="1747">
        <v>0.14599999999999999</v>
      </c>
      <c r="F232" s="1748">
        <v>0.13800000000000001</v>
      </c>
    </row>
    <row r="233" spans="1:6" ht="14.25" thickBot="1">
      <c r="A233" s="1742" t="s">
        <v>1388</v>
      </c>
      <c r="B233" s="1746" t="s">
        <v>2129</v>
      </c>
      <c r="C233" s="1747">
        <v>0.14499999999999999</v>
      </c>
      <c r="D233" s="1747">
        <v>0.14299999999999999</v>
      </c>
      <c r="E233" s="1747">
        <v>0.14199999999999999</v>
      </c>
      <c r="F233" s="1755"/>
    </row>
    <row r="234" spans="1:6" ht="14.25" thickBot="1">
      <c r="A234" s="1742" t="s">
        <v>1388</v>
      </c>
      <c r="B234" s="1746" t="s">
        <v>2130</v>
      </c>
      <c r="C234" s="1747">
        <v>0.14000000000000001</v>
      </c>
      <c r="D234" s="1747">
        <v>0.14000000000000001</v>
      </c>
      <c r="E234" s="1747">
        <v>0.14399999999999999</v>
      </c>
      <c r="F234" s="1755"/>
    </row>
    <row r="235" spans="1:6" ht="14.25" thickBot="1">
      <c r="A235" s="1742" t="s">
        <v>1388</v>
      </c>
      <c r="B235" s="1746" t="s">
        <v>2131</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2132</v>
      </c>
      <c r="C237" s="1756"/>
      <c r="D237" s="1756"/>
      <c r="E237" s="1756"/>
      <c r="F237" s="1748">
        <v>0.05</v>
      </c>
    </row>
    <row r="238" spans="1:6" ht="24.75" thickBot="1">
      <c r="A238" s="1742" t="s">
        <v>1388</v>
      </c>
      <c r="B238" s="1746" t="s">
        <v>2133</v>
      </c>
      <c r="C238" s="1756"/>
      <c r="D238" s="1756"/>
      <c r="E238" s="1756"/>
      <c r="F238" s="1748">
        <v>0.05</v>
      </c>
    </row>
    <row r="239" spans="1:6" ht="24.75" thickBot="1">
      <c r="A239" s="1742" t="s">
        <v>1388</v>
      </c>
      <c r="B239" s="1746" t="s">
        <v>2134</v>
      </c>
      <c r="C239" s="1756"/>
      <c r="D239" s="1756"/>
      <c r="E239" s="1756"/>
      <c r="F239" s="1748">
        <v>0.05</v>
      </c>
    </row>
    <row r="240" spans="1:6" ht="24.75" thickBot="1">
      <c r="A240" s="1742" t="s">
        <v>1388</v>
      </c>
      <c r="B240" s="1746" t="s">
        <v>2135</v>
      </c>
      <c r="C240" s="1756"/>
      <c r="D240" s="1756"/>
      <c r="E240" s="1756"/>
      <c r="F240" s="1748">
        <v>0.05</v>
      </c>
    </row>
    <row r="241" spans="1:6" ht="24.75" thickBot="1">
      <c r="A241" s="1742" t="s">
        <v>1388</v>
      </c>
      <c r="B241" s="1746" t="s">
        <v>2136</v>
      </c>
      <c r="C241" s="1756"/>
      <c r="D241" s="1756"/>
      <c r="E241" s="1756"/>
      <c r="F241" s="1748">
        <v>0.05</v>
      </c>
    </row>
    <row r="242" spans="1:6" ht="24.75" thickBot="1">
      <c r="A242" s="1742" t="s">
        <v>1388</v>
      </c>
      <c r="B242" s="1746" t="s">
        <v>2137</v>
      </c>
      <c r="C242" s="1756"/>
      <c r="D242" s="1756"/>
      <c r="E242" s="1756"/>
      <c r="F242" s="1748">
        <v>0.05</v>
      </c>
    </row>
    <row r="243" spans="1:6" ht="24.75" thickBot="1">
      <c r="A243" s="1742" t="s">
        <v>1388</v>
      </c>
      <c r="B243" s="1746" t="s">
        <v>2138</v>
      </c>
      <c r="C243" s="1756"/>
      <c r="D243" s="1756"/>
      <c r="E243" s="1756"/>
      <c r="F243" s="1748">
        <v>0.05</v>
      </c>
    </row>
    <row r="244" spans="1:6" ht="24.75" thickBot="1">
      <c r="A244" s="1750" t="s">
        <v>1388</v>
      </c>
      <c r="B244" s="1757" t="s">
        <v>2139</v>
      </c>
      <c r="C244" s="1753"/>
      <c r="D244" s="1753"/>
      <c r="E244" s="1753"/>
      <c r="F244" s="1758">
        <v>0.05</v>
      </c>
    </row>
    <row r="245" spans="1:6" ht="14.25" thickBot="1">
      <c r="A245" s="1742" t="s">
        <v>1390</v>
      </c>
      <c r="B245" s="1743" t="s">
        <v>2140</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2141</v>
      </c>
      <c r="C247" s="1747">
        <v>0.15</v>
      </c>
      <c r="D247" s="1747">
        <v>0.15</v>
      </c>
      <c r="E247" s="1747">
        <v>0.15</v>
      </c>
      <c r="F247" s="1748">
        <v>0.15</v>
      </c>
    </row>
    <row r="248" spans="1:6" ht="14.25" thickBot="1">
      <c r="A248" s="1742" t="s">
        <v>1390</v>
      </c>
      <c r="B248" s="1746" t="s">
        <v>2142</v>
      </c>
      <c r="C248" s="1747">
        <v>0.15</v>
      </c>
      <c r="D248" s="1747">
        <v>0.15</v>
      </c>
      <c r="E248" s="1747">
        <v>0.15</v>
      </c>
      <c r="F248" s="1748">
        <v>0.14000000000000001</v>
      </c>
    </row>
    <row r="249" spans="1:6" ht="14.25" thickBot="1">
      <c r="A249" s="1742" t="s">
        <v>1390</v>
      </c>
      <c r="B249" s="1746" t="s">
        <v>2143</v>
      </c>
      <c r="C249" s="1747">
        <v>0.15</v>
      </c>
      <c r="D249" s="1747">
        <v>0.14899999999999999</v>
      </c>
      <c r="E249" s="1747">
        <v>0.15</v>
      </c>
      <c r="F249" s="1748">
        <v>0.1</v>
      </c>
    </row>
    <row r="250" spans="1:6" ht="14.25" thickBot="1">
      <c r="A250" s="1742" t="s">
        <v>1390</v>
      </c>
      <c r="B250" s="1746" t="s">
        <v>2144</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2145</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2146</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2147</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2148</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2149</v>
      </c>
      <c r="C273" s="1747">
        <v>0.14199999999999999</v>
      </c>
      <c r="D273" s="1747">
        <v>0.14299999999999999</v>
      </c>
      <c r="E273" s="1747">
        <v>0.15</v>
      </c>
      <c r="F273" s="1748">
        <v>0.1</v>
      </c>
    </row>
    <row r="274" spans="1:6" ht="14.25" thickBot="1">
      <c r="A274" s="1742" t="s">
        <v>1390</v>
      </c>
      <c r="B274" s="1746" t="s">
        <v>2150</v>
      </c>
      <c r="C274" s="1747">
        <v>0.14799999999999999</v>
      </c>
      <c r="D274" s="1747">
        <v>0.14799999999999999</v>
      </c>
      <c r="E274" s="1747">
        <v>0.15</v>
      </c>
      <c r="F274" s="1748">
        <v>6.7000000000000004E-2</v>
      </c>
    </row>
    <row r="275" spans="1:6" ht="14.25" thickBot="1">
      <c r="A275" s="1742" t="s">
        <v>1390</v>
      </c>
      <c r="B275" s="1746" t="s">
        <v>2151</v>
      </c>
      <c r="C275" s="1747">
        <v>0.15</v>
      </c>
      <c r="D275" s="1747">
        <v>0.15</v>
      </c>
      <c r="E275" s="1747">
        <v>0.15</v>
      </c>
      <c r="F275" s="1748">
        <v>0.15</v>
      </c>
    </row>
    <row r="276" spans="1:6" ht="14.25" thickBot="1">
      <c r="A276" s="1742" t="s">
        <v>1390</v>
      </c>
      <c r="B276" s="1746" t="s">
        <v>2152</v>
      </c>
      <c r="C276" s="1747">
        <v>0.14499999999999999</v>
      </c>
      <c r="D276" s="1747">
        <v>0.14299999999999999</v>
      </c>
      <c r="E276" s="1747">
        <v>0.15</v>
      </c>
      <c r="F276" s="1748">
        <v>5.8999999999999997E-2</v>
      </c>
    </row>
    <row r="277" spans="1:6" ht="14.25" thickBot="1">
      <c r="A277" s="1742" t="s">
        <v>1390</v>
      </c>
      <c r="B277" s="1746" t="s">
        <v>2153</v>
      </c>
      <c r="C277" s="1747">
        <v>0.15</v>
      </c>
      <c r="D277" s="1747">
        <v>0.15</v>
      </c>
      <c r="E277" s="1747">
        <v>0.15</v>
      </c>
      <c r="F277" s="1748">
        <v>0.121</v>
      </c>
    </row>
    <row r="278" spans="1:6" ht="14.25" thickBot="1">
      <c r="A278" s="1742" t="s">
        <v>1390</v>
      </c>
      <c r="B278" s="1746" t="s">
        <v>2154</v>
      </c>
      <c r="C278" s="1747">
        <v>0.15</v>
      </c>
      <c r="D278" s="1747">
        <v>0.15</v>
      </c>
      <c r="E278" s="1747">
        <v>0.15</v>
      </c>
      <c r="F278" s="1748">
        <v>0.13800000000000001</v>
      </c>
    </row>
    <row r="279" spans="1:6" ht="24.75" thickBot="1">
      <c r="A279" s="1742" t="s">
        <v>1390</v>
      </c>
      <c r="B279" s="1746" t="s">
        <v>2155</v>
      </c>
      <c r="C279" s="1756"/>
      <c r="D279" s="1756"/>
      <c r="E279" s="1756"/>
      <c r="F279" s="1748">
        <v>0.05</v>
      </c>
    </row>
    <row r="280" spans="1:6" ht="24.75" thickBot="1">
      <c r="A280" s="1742" t="s">
        <v>1390</v>
      </c>
      <c r="B280" s="1746" t="s">
        <v>2156</v>
      </c>
      <c r="C280" s="1756"/>
      <c r="D280" s="1756"/>
      <c r="E280" s="1756"/>
      <c r="F280" s="1748">
        <v>0.05</v>
      </c>
    </row>
    <row r="281" spans="1:6" ht="24.75" thickBot="1">
      <c r="A281" s="1742" t="s">
        <v>1390</v>
      </c>
      <c r="B281" s="1746" t="s">
        <v>2157</v>
      </c>
      <c r="C281" s="1756"/>
      <c r="D281" s="1756"/>
      <c r="E281" s="1756"/>
      <c r="F281" s="1748">
        <v>0.05</v>
      </c>
    </row>
    <row r="282" spans="1:6" ht="24.75" thickBot="1">
      <c r="A282" s="1742" t="s">
        <v>1390</v>
      </c>
      <c r="B282" s="1746" t="s">
        <v>2158</v>
      </c>
      <c r="C282" s="1756"/>
      <c r="D282" s="1756"/>
      <c r="E282" s="1756"/>
      <c r="F282" s="1748">
        <v>0.05</v>
      </c>
    </row>
    <row r="283" spans="1:6" ht="24.75" thickBot="1">
      <c r="A283" s="1742" t="s">
        <v>1390</v>
      </c>
      <c r="B283" s="1746" t="s">
        <v>2159</v>
      </c>
      <c r="C283" s="1756"/>
      <c r="D283" s="1756"/>
      <c r="E283" s="1756"/>
      <c r="F283" s="1748">
        <v>0.05</v>
      </c>
    </row>
    <row r="284" spans="1:6" ht="24.75" thickBot="1">
      <c r="A284" s="1742" t="s">
        <v>1390</v>
      </c>
      <c r="B284" s="1746" t="s">
        <v>2160</v>
      </c>
      <c r="C284" s="1756"/>
      <c r="D284" s="1756"/>
      <c r="E284" s="1756"/>
      <c r="F284" s="1748">
        <v>0.05</v>
      </c>
    </row>
    <row r="285" spans="1:6" ht="24.75" thickBot="1">
      <c r="A285" s="1742" t="s">
        <v>1390</v>
      </c>
      <c r="B285" s="1746" t="s">
        <v>2161</v>
      </c>
      <c r="C285" s="1756"/>
      <c r="D285" s="1756"/>
      <c r="E285" s="1756"/>
      <c r="F285" s="1748">
        <v>0.05</v>
      </c>
    </row>
    <row r="286" spans="1:6" ht="24.75" thickBot="1">
      <c r="A286" s="1742" t="s">
        <v>1390</v>
      </c>
      <c r="B286" s="1746" t="s">
        <v>2162</v>
      </c>
      <c r="C286" s="1756"/>
      <c r="D286" s="1756"/>
      <c r="E286" s="1756"/>
      <c r="F286" s="1748">
        <v>0.05</v>
      </c>
    </row>
    <row r="287" spans="1:6" ht="24.75" thickBot="1">
      <c r="A287" s="1742" t="s">
        <v>1390</v>
      </c>
      <c r="B287" s="1746" t="s">
        <v>2163</v>
      </c>
      <c r="C287" s="1756"/>
      <c r="D287" s="1756"/>
      <c r="E287" s="1756"/>
      <c r="F287" s="1748">
        <v>0.05</v>
      </c>
    </row>
    <row r="288" spans="1:6" ht="24.75" thickBot="1">
      <c r="A288" s="1742" t="s">
        <v>1390</v>
      </c>
      <c r="B288" s="1746" t="s">
        <v>2164</v>
      </c>
      <c r="C288" s="1756"/>
      <c r="D288" s="1756"/>
      <c r="E288" s="1756"/>
      <c r="F288" s="1748">
        <v>0.05</v>
      </c>
    </row>
    <row r="289" spans="1:6" ht="24.75" thickBot="1">
      <c r="A289" s="1750" t="s">
        <v>1390</v>
      </c>
      <c r="B289" s="1757" t="s">
        <v>2165</v>
      </c>
      <c r="C289" s="1753"/>
      <c r="D289" s="1753"/>
      <c r="E289" s="1753"/>
      <c r="F289" s="1758">
        <v>0.05</v>
      </c>
    </row>
    <row r="290" spans="1:6" ht="14.25" thickBot="1">
      <c r="A290" s="1742" t="s">
        <v>1394</v>
      </c>
      <c r="B290" s="1743" t="s">
        <v>2166</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2167</v>
      </c>
      <c r="C292" s="1747">
        <v>0.15</v>
      </c>
      <c r="D292" s="1747">
        <v>0.15</v>
      </c>
      <c r="E292" s="1747">
        <v>0.15</v>
      </c>
      <c r="F292" s="1748">
        <v>0.14699999999999999</v>
      </c>
    </row>
    <row r="293" spans="1:6" ht="14.25" thickBot="1">
      <c r="A293" s="1742" t="s">
        <v>1394</v>
      </c>
      <c r="B293" s="1746" t="s">
        <v>2168</v>
      </c>
      <c r="C293" s="1756"/>
      <c r="D293" s="1756"/>
      <c r="E293" s="1756"/>
      <c r="F293" s="1748">
        <v>0.1</v>
      </c>
    </row>
    <row r="294" spans="1:6" ht="14.25" thickBot="1">
      <c r="A294" s="1742" t="s">
        <v>1394</v>
      </c>
      <c r="B294" s="1746" t="s">
        <v>2169</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2170</v>
      </c>
      <c r="C296" s="1747">
        <v>0.15</v>
      </c>
      <c r="D296" s="1747">
        <v>0.15</v>
      </c>
      <c r="E296" s="1747">
        <v>0.15</v>
      </c>
      <c r="F296" s="1748">
        <v>0.15</v>
      </c>
    </row>
    <row r="297" spans="1:6" ht="14.25" thickBot="1">
      <c r="A297" s="1742" t="s">
        <v>1394</v>
      </c>
      <c r="B297" s="1746" t="s">
        <v>2171</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2172</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2173</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2174</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2175</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2176</v>
      </c>
      <c r="C310" s="1747">
        <v>0.15</v>
      </c>
      <c r="D310" s="1747">
        <v>0.15</v>
      </c>
      <c r="E310" s="1747">
        <v>0.15</v>
      </c>
      <c r="F310" s="1748">
        <v>0.13700000000000001</v>
      </c>
    </row>
    <row r="311" spans="1:6" ht="14.25" thickBot="1">
      <c r="A311" s="1742" t="s">
        <v>1394</v>
      </c>
      <c r="B311" s="1746" t="s">
        <v>2177</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2178</v>
      </c>
      <c r="C313" s="1747">
        <v>0.15</v>
      </c>
      <c r="D313" s="1747">
        <v>0.15</v>
      </c>
      <c r="E313" s="1747">
        <v>0.15</v>
      </c>
      <c r="F313" s="1748">
        <v>0.15</v>
      </c>
    </row>
    <row r="314" spans="1:6" ht="24.75" thickBot="1">
      <c r="A314" s="1742" t="s">
        <v>1394</v>
      </c>
      <c r="B314" s="1746" t="s">
        <v>2179</v>
      </c>
      <c r="C314" s="1756"/>
      <c r="D314" s="1756"/>
      <c r="E314" s="1756"/>
      <c r="F314" s="1748">
        <v>0.05</v>
      </c>
    </row>
    <row r="315" spans="1:6" ht="24.75" thickBot="1">
      <c r="A315" s="1742" t="s">
        <v>1394</v>
      </c>
      <c r="B315" s="1746" t="s">
        <v>2180</v>
      </c>
      <c r="C315" s="1756"/>
      <c r="D315" s="1756"/>
      <c r="E315" s="1756"/>
      <c r="F315" s="1748">
        <v>0.05</v>
      </c>
    </row>
    <row r="316" spans="1:6" ht="24.75" thickBot="1">
      <c r="A316" s="1750" t="s">
        <v>1394</v>
      </c>
      <c r="B316" s="1757" t="s">
        <v>2181</v>
      </c>
      <c r="C316" s="1753"/>
      <c r="D316" s="1753"/>
      <c r="E316" s="1753"/>
      <c r="F316" s="1758">
        <v>0.05</v>
      </c>
    </row>
    <row r="317" spans="1:6" ht="14.25" thickBot="1">
      <c r="A317" s="1742" t="s">
        <v>2182</v>
      </c>
      <c r="B317" s="1743" t="s">
        <v>2183</v>
      </c>
      <c r="C317" s="1744">
        <v>0.15</v>
      </c>
      <c r="D317" s="1744">
        <v>0.15</v>
      </c>
      <c r="E317" s="1744">
        <v>0.15</v>
      </c>
      <c r="F317" s="1745">
        <v>0.15</v>
      </c>
    </row>
    <row r="318" spans="1:6" ht="14.25" thickBot="1">
      <c r="A318" s="1742" t="s">
        <v>2182</v>
      </c>
      <c r="B318" s="1746" t="s">
        <v>2184</v>
      </c>
      <c r="C318" s="1747">
        <v>0.107</v>
      </c>
      <c r="D318" s="1747">
        <v>0.11</v>
      </c>
      <c r="E318" s="1747">
        <v>0.112</v>
      </c>
      <c r="F318" s="1755"/>
    </row>
    <row r="319" spans="1:6" ht="14.25" thickBot="1">
      <c r="A319" s="1742" t="s">
        <v>2182</v>
      </c>
      <c r="B319" s="1746" t="s">
        <v>2185</v>
      </c>
      <c r="C319" s="1747">
        <v>0.15</v>
      </c>
      <c r="D319" s="1747">
        <v>0.15</v>
      </c>
      <c r="E319" s="1747">
        <v>0.15</v>
      </c>
      <c r="F319" s="1748">
        <v>0.15</v>
      </c>
    </row>
    <row r="320" spans="1:6" ht="14.25" thickBot="1">
      <c r="A320" s="1742" t="s">
        <v>2182</v>
      </c>
      <c r="B320" s="1746" t="s">
        <v>1082</v>
      </c>
      <c r="C320" s="1747">
        <v>0.15</v>
      </c>
      <c r="D320" s="1747">
        <v>0.15</v>
      </c>
      <c r="E320" s="1747">
        <v>0.15</v>
      </c>
      <c r="F320" s="1755"/>
    </row>
    <row r="321" spans="1:6" ht="14.25" thickBot="1">
      <c r="A321" s="1742" t="s">
        <v>2182</v>
      </c>
      <c r="B321" s="1746" t="s">
        <v>2186</v>
      </c>
      <c r="C321" s="1747">
        <v>0.15</v>
      </c>
      <c r="D321" s="1747">
        <v>0.15</v>
      </c>
      <c r="E321" s="1747">
        <v>0.15</v>
      </c>
      <c r="F321" s="1755"/>
    </row>
    <row r="322" spans="1:6" ht="14.25" thickBot="1">
      <c r="A322" s="1742" t="s">
        <v>2182</v>
      </c>
      <c r="B322" s="1746" t="s">
        <v>2187</v>
      </c>
      <c r="C322" s="1747">
        <v>0.15</v>
      </c>
      <c r="D322" s="1747">
        <v>0.15</v>
      </c>
      <c r="E322" s="1747">
        <v>0.15</v>
      </c>
      <c r="F322" s="1748">
        <v>0.15</v>
      </c>
    </row>
    <row r="323" spans="1:6" ht="14.25" thickBot="1">
      <c r="A323" s="1742" t="s">
        <v>2182</v>
      </c>
      <c r="B323" s="1746" t="s">
        <v>2188</v>
      </c>
      <c r="C323" s="1747">
        <v>0.15</v>
      </c>
      <c r="D323" s="1747">
        <v>0.15</v>
      </c>
      <c r="E323" s="1747">
        <v>0.15</v>
      </c>
      <c r="F323" s="1755"/>
    </row>
    <row r="324" spans="1:6" ht="14.25" thickBot="1">
      <c r="A324" s="1742" t="s">
        <v>2182</v>
      </c>
      <c r="B324" s="1746" t="s">
        <v>2189</v>
      </c>
      <c r="C324" s="1747">
        <v>0.15</v>
      </c>
      <c r="D324" s="1747">
        <v>0.15</v>
      </c>
      <c r="E324" s="1747">
        <v>0.15</v>
      </c>
      <c r="F324" s="1755"/>
    </row>
    <row r="325" spans="1:6" ht="14.25" thickBot="1">
      <c r="A325" s="1742" t="s">
        <v>2182</v>
      </c>
      <c r="B325" s="1746" t="s">
        <v>2190</v>
      </c>
      <c r="C325" s="1747">
        <v>0.15</v>
      </c>
      <c r="D325" s="1747">
        <v>0.15</v>
      </c>
      <c r="E325" s="1747">
        <v>0.15</v>
      </c>
      <c r="F325" s="1748">
        <v>0.14699999999999999</v>
      </c>
    </row>
    <row r="326" spans="1:6" ht="14.25" thickBot="1">
      <c r="A326" s="1742" t="s">
        <v>2182</v>
      </c>
      <c r="B326" s="1746" t="s">
        <v>1151</v>
      </c>
      <c r="C326" s="1747">
        <v>0.15</v>
      </c>
      <c r="D326" s="1747">
        <v>0.15</v>
      </c>
      <c r="E326" s="1747">
        <v>0.15</v>
      </c>
      <c r="F326" s="1755"/>
    </row>
    <row r="327" spans="1:6" ht="14.25" thickBot="1">
      <c r="A327" s="1742" t="s">
        <v>2182</v>
      </c>
      <c r="B327" s="1746" t="s">
        <v>2191</v>
      </c>
      <c r="C327" s="1747">
        <v>0.15</v>
      </c>
      <c r="D327" s="1747">
        <v>0.15</v>
      </c>
      <c r="E327" s="1747">
        <v>0.15</v>
      </c>
      <c r="F327" s="1748">
        <v>0.15</v>
      </c>
    </row>
    <row r="328" spans="1:6" ht="14.25" thickBot="1">
      <c r="A328" s="1742" t="s">
        <v>2182</v>
      </c>
      <c r="B328" s="1746" t="s">
        <v>1171</v>
      </c>
      <c r="C328" s="1747">
        <v>0.15</v>
      </c>
      <c r="D328" s="1747">
        <v>0.15</v>
      </c>
      <c r="E328" s="1747">
        <v>0.15</v>
      </c>
      <c r="F328" s="1748">
        <v>0.14099999999999999</v>
      </c>
    </row>
    <row r="329" spans="1:6" ht="14.25" thickBot="1">
      <c r="A329" s="1742" t="s">
        <v>2182</v>
      </c>
      <c r="B329" s="1746" t="s">
        <v>1181</v>
      </c>
      <c r="C329" s="1747">
        <v>0.15</v>
      </c>
      <c r="D329" s="1747">
        <v>0.15</v>
      </c>
      <c r="E329" s="1747">
        <v>0.15</v>
      </c>
      <c r="F329" s="1748">
        <v>0.15</v>
      </c>
    </row>
    <row r="330" spans="1:6" ht="14.25" thickBot="1">
      <c r="A330" s="1742" t="s">
        <v>2182</v>
      </c>
      <c r="B330" s="1746" t="s">
        <v>1191</v>
      </c>
      <c r="C330" s="1747">
        <v>0.15</v>
      </c>
      <c r="D330" s="1747">
        <v>0.15</v>
      </c>
      <c r="E330" s="1747">
        <v>0.15</v>
      </c>
      <c r="F330" s="1755"/>
    </row>
    <row r="331" spans="1:6" ht="14.25" thickBot="1">
      <c r="A331" s="1742" t="s">
        <v>2182</v>
      </c>
      <c r="B331" s="1746" t="s">
        <v>2192</v>
      </c>
      <c r="C331" s="1747">
        <v>0.15</v>
      </c>
      <c r="D331" s="1747">
        <v>0.15</v>
      </c>
      <c r="E331" s="1747">
        <v>0.15</v>
      </c>
      <c r="F331" s="1748">
        <v>0.15</v>
      </c>
    </row>
    <row r="332" spans="1:6" ht="14.25" thickBot="1">
      <c r="A332" s="1742" t="s">
        <v>2182</v>
      </c>
      <c r="B332" s="1746" t="s">
        <v>1211</v>
      </c>
      <c r="C332" s="1747">
        <v>0.15</v>
      </c>
      <c r="D332" s="1747">
        <v>0.15</v>
      </c>
      <c r="E332" s="1747">
        <v>0.15</v>
      </c>
      <c r="F332" s="1748">
        <v>0.15</v>
      </c>
    </row>
    <row r="333" spans="1:6" ht="14.25" thickBot="1">
      <c r="A333" s="1742" t="s">
        <v>2182</v>
      </c>
      <c r="B333" s="1746" t="s">
        <v>2193</v>
      </c>
      <c r="C333" s="1747">
        <v>0.15</v>
      </c>
      <c r="D333" s="1747">
        <v>0.15</v>
      </c>
      <c r="E333" s="1747">
        <v>0.15</v>
      </c>
      <c r="F333" s="1748">
        <v>0.14099999999999999</v>
      </c>
    </row>
    <row r="334" spans="1:6" ht="14.25" thickBot="1">
      <c r="A334" s="1742" t="s">
        <v>2182</v>
      </c>
      <c r="B334" s="1746" t="s">
        <v>1231</v>
      </c>
      <c r="C334" s="1747">
        <v>0.15</v>
      </c>
      <c r="D334" s="1747">
        <v>0.15</v>
      </c>
      <c r="E334" s="1747">
        <v>0.15</v>
      </c>
      <c r="F334" s="1748">
        <v>0.15</v>
      </c>
    </row>
    <row r="335" spans="1:6" ht="14.25" thickBot="1">
      <c r="A335" s="1742" t="s">
        <v>2182</v>
      </c>
      <c r="B335" s="1746" t="s">
        <v>1241</v>
      </c>
      <c r="C335" s="1747">
        <v>0.15</v>
      </c>
      <c r="D335" s="1747">
        <v>0.15</v>
      </c>
      <c r="E335" s="1747">
        <v>0.15</v>
      </c>
      <c r="F335" s="1755"/>
    </row>
    <row r="336" spans="1:6" ht="14.25" thickBot="1">
      <c r="A336" s="1742" t="s">
        <v>2182</v>
      </c>
      <c r="B336" s="1746" t="s">
        <v>2194</v>
      </c>
      <c r="C336" s="1747">
        <v>0.15</v>
      </c>
      <c r="D336" s="1747">
        <v>0.15</v>
      </c>
      <c r="E336" s="1747">
        <v>0.15</v>
      </c>
      <c r="F336" s="1748">
        <v>0.11799999999999999</v>
      </c>
    </row>
    <row r="337" spans="1:6" ht="14.25" thickBot="1">
      <c r="A337" s="1750" t="s">
        <v>2182</v>
      </c>
      <c r="B337" s="1757" t="s">
        <v>1259</v>
      </c>
      <c r="C337" s="1753"/>
      <c r="D337" s="1753"/>
      <c r="E337" s="1753"/>
      <c r="F337" s="1758">
        <v>0.14299999999999999</v>
      </c>
    </row>
    <row r="338" spans="1:6" ht="14.25" thickBot="1">
      <c r="A338" s="1742" t="s">
        <v>2195</v>
      </c>
      <c r="B338" s="1743" t="s">
        <v>2196</v>
      </c>
      <c r="C338" s="1744">
        <v>0.15</v>
      </c>
      <c r="D338" s="1744">
        <v>0.15</v>
      </c>
      <c r="E338" s="1744">
        <v>0.15</v>
      </c>
      <c r="F338" s="1766"/>
    </row>
    <row r="339" spans="1:6" ht="14.25" thickBot="1">
      <c r="A339" s="1742" t="s">
        <v>2195</v>
      </c>
      <c r="B339" s="1746" t="s">
        <v>2197</v>
      </c>
      <c r="C339" s="1747">
        <v>0.15</v>
      </c>
      <c r="D339" s="1747">
        <v>0.15</v>
      </c>
      <c r="E339" s="1747">
        <v>0.15</v>
      </c>
      <c r="F339" s="1755"/>
    </row>
    <row r="340" spans="1:6" ht="14.25" thickBot="1">
      <c r="A340" s="1742" t="s">
        <v>2195</v>
      </c>
      <c r="B340" s="1746" t="s">
        <v>2198</v>
      </c>
      <c r="C340" s="1747">
        <v>0.15</v>
      </c>
      <c r="D340" s="1747">
        <v>0.15</v>
      </c>
      <c r="E340" s="1747">
        <v>0.15</v>
      </c>
      <c r="F340" s="1755"/>
    </row>
    <row r="341" spans="1:6" ht="14.25" thickBot="1">
      <c r="A341" s="1742" t="s">
        <v>2199</v>
      </c>
      <c r="B341" s="1746" t="s">
        <v>2200</v>
      </c>
      <c r="C341" s="1747">
        <v>0.15</v>
      </c>
      <c r="D341" s="1747">
        <v>0.15</v>
      </c>
      <c r="E341" s="1747">
        <v>0.15</v>
      </c>
      <c r="F341" s="1748">
        <v>0.15</v>
      </c>
    </row>
    <row r="342" spans="1:6" ht="14.25" thickBot="1">
      <c r="A342" s="1742" t="s">
        <v>2195</v>
      </c>
      <c r="B342" s="1746" t="s">
        <v>2201</v>
      </c>
      <c r="C342" s="1747">
        <v>0.15</v>
      </c>
      <c r="D342" s="1747">
        <v>0.15</v>
      </c>
      <c r="E342" s="1747">
        <v>0.15</v>
      </c>
      <c r="F342" s="1748">
        <v>0.15</v>
      </c>
    </row>
    <row r="343" spans="1:6" ht="14.25" thickBot="1">
      <c r="A343" s="1742" t="s">
        <v>2195</v>
      </c>
      <c r="B343" s="1746" t="s">
        <v>2202</v>
      </c>
      <c r="C343" s="1747">
        <v>0.15</v>
      </c>
      <c r="D343" s="1747">
        <v>0.15</v>
      </c>
      <c r="E343" s="1747">
        <v>0.15</v>
      </c>
      <c r="F343" s="1748">
        <v>0.15</v>
      </c>
    </row>
    <row r="344" spans="1:6" ht="14.25" thickBot="1">
      <c r="A344" s="1750" t="s">
        <v>2195</v>
      </c>
      <c r="B344" s="1757" t="s">
        <v>2203</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710" t="s">
        <v>2528</v>
      </c>
      <c r="C1" s="3710"/>
      <c r="D1" s="3710"/>
      <c r="E1" s="3710"/>
      <c r="F1" s="3710"/>
      <c r="G1" s="3709" t="s">
        <v>2529</v>
      </c>
      <c r="H1" s="3709"/>
      <c r="I1" s="3709"/>
      <c r="J1" s="3709"/>
      <c r="K1" s="3709"/>
      <c r="L1" s="3709"/>
      <c r="N1" s="3709" t="s">
        <v>2530</v>
      </c>
      <c r="O1" s="3709"/>
      <c r="P1" s="3709"/>
      <c r="Q1" s="3709"/>
      <c r="S1" s="3709" t="s">
        <v>2531</v>
      </c>
      <c r="T1" s="3709"/>
      <c r="U1" s="3709"/>
      <c r="V1" s="3709"/>
      <c r="X1" s="3708" t="s">
        <v>2591</v>
      </c>
      <c r="Y1" s="3709"/>
      <c r="Z1" s="3709"/>
      <c r="AA1" s="3709"/>
      <c r="AB1" s="3709"/>
      <c r="AD1" s="3708" t="s">
        <v>2595</v>
      </c>
      <c r="AE1" s="3709"/>
      <c r="AF1" s="3709"/>
      <c r="AG1" s="3709"/>
      <c r="AH1" s="3709"/>
    </row>
    <row r="2" spans="1:34" s="2831" customFormat="1" ht="14.25" thickBot="1">
      <c r="B2" s="2832" t="s">
        <v>2532</v>
      </c>
      <c r="C2" s="2832" t="s">
        <v>2593</v>
      </c>
      <c r="D2" s="2833" t="s">
        <v>1618</v>
      </c>
      <c r="E2" s="2833" t="s">
        <v>1915</v>
      </c>
      <c r="F2" s="2832" t="s">
        <v>2594</v>
      </c>
      <c r="G2" s="2834"/>
      <c r="I2" s="2832" t="s">
        <v>2891</v>
      </c>
      <c r="J2" s="2833" t="s">
        <v>2893</v>
      </c>
      <c r="K2" s="2833" t="s">
        <v>2894</v>
      </c>
      <c r="L2" s="2832" t="s">
        <v>2895</v>
      </c>
      <c r="N2" s="2832" t="s">
        <v>2532</v>
      </c>
      <c r="O2" s="2833" t="s">
        <v>2892</v>
      </c>
      <c r="P2" s="2833" t="s">
        <v>1915</v>
      </c>
      <c r="Q2" s="2832" t="s">
        <v>2594</v>
      </c>
      <c r="S2" s="2832" t="s">
        <v>2532</v>
      </c>
      <c r="T2" s="2833" t="s">
        <v>2892</v>
      </c>
      <c r="U2" s="2833" t="s">
        <v>1915</v>
      </c>
      <c r="V2" s="2832" t="s">
        <v>2594</v>
      </c>
      <c r="X2" s="2832" t="s">
        <v>2532</v>
      </c>
      <c r="Y2" s="2832" t="s">
        <v>2593</v>
      </c>
      <c r="Z2" s="2833" t="s">
        <v>1618</v>
      </c>
      <c r="AA2" s="2833" t="s">
        <v>1915</v>
      </c>
      <c r="AB2" s="2832" t="s">
        <v>2594</v>
      </c>
      <c r="AD2" s="2832" t="s">
        <v>2532</v>
      </c>
      <c r="AE2" s="2832" t="s">
        <v>2593</v>
      </c>
      <c r="AF2" s="2833" t="s">
        <v>1618</v>
      </c>
      <c r="AG2" s="2833" t="s">
        <v>1915</v>
      </c>
      <c r="AH2" s="2832" t="s">
        <v>2594</v>
      </c>
    </row>
    <row r="3" spans="1:34" s="2841" customFormat="1" ht="14.25">
      <c r="A3" s="2835" t="s">
        <v>2902</v>
      </c>
      <c r="B3" s="2836"/>
      <c r="C3" s="2836"/>
      <c r="D3" s="2837"/>
      <c r="E3" s="2837"/>
      <c r="F3" s="2836"/>
      <c r="G3" s="2838"/>
      <c r="H3" s="2839"/>
      <c r="I3" s="2840">
        <f>ROUND(AVERAGE($I4:$I37),2)</f>
        <v>1.64</v>
      </c>
      <c r="J3" s="2840">
        <f>ROUND(AVERAGE($J4:$J37),2)</f>
        <v>1.03</v>
      </c>
      <c r="K3" s="2840">
        <f>ROUND(AVERAGE($K4:$K37),2)</f>
        <v>1.81</v>
      </c>
      <c r="L3" s="2840">
        <f>ROUND(AVERAGE($L4:$L37),2)</f>
        <v>1.2</v>
      </c>
      <c r="N3" s="2838"/>
      <c r="S3" s="2838"/>
      <c r="W3" s="2842"/>
      <c r="X3" s="2843">
        <f>ROUND(SUMPRODUCT(PRODUCT(1+N3:N$36)),4)</f>
        <v>1.6585000000000001</v>
      </c>
      <c r="Y3" s="2843">
        <f>ROUND(SUMPRODUCT(PRODUCT(1+O3:O$36)),4)</f>
        <v>1.3676999999999999</v>
      </c>
      <c r="Z3" s="2843">
        <f t="shared" ref="Z3" si="0">Y3</f>
        <v>1.3676999999999999</v>
      </c>
      <c r="AA3" s="2843">
        <f>ROUND(SUMPRODUCT(PRODUCT(1+P3:P$36)),4)</f>
        <v>1.7434000000000001</v>
      </c>
      <c r="AB3" s="2843">
        <f>ROUND(SUMPRODUCT(PRODUCT(1+Q3:Q$36)),4)</f>
        <v>1.4609000000000001</v>
      </c>
      <c r="AD3" s="2844">
        <f>ROUND(AVERAGE(I3:I$37)/100,4)</f>
        <v>1.6400000000000001E-2</v>
      </c>
      <c r="AE3" s="2844">
        <f>ROUND(AVERAGE(J3:J$37)/100,4)</f>
        <v>1.03E-2</v>
      </c>
      <c r="AF3" s="2844">
        <f t="shared" ref="AF3:AF35" si="1">AE3</f>
        <v>1.03E-2</v>
      </c>
      <c r="AG3" s="2844">
        <f>ROUND(AVERAGE(K3:K$37)/100,4)</f>
        <v>1.8100000000000002E-2</v>
      </c>
      <c r="AH3" s="2844">
        <f>ROUND(AVERAGE(L3:L$37)/100,4)</f>
        <v>1.2E-2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3123</v>
      </c>
      <c r="B5" s="2855">
        <f t="shared" ref="B5" si="2">B6*(1+N5)</f>
        <v>510.07089659554606</v>
      </c>
      <c r="C5" s="2855">
        <f t="shared" ref="C5" si="3">C6*(1+O5)</f>
        <v>352.55593185737411</v>
      </c>
      <c r="D5" s="2855">
        <f t="shared" ref="D5" si="4">C5</f>
        <v>352.55593185737411</v>
      </c>
      <c r="E5" s="2855">
        <f t="shared" ref="E5" si="5">E6*(1+P5)</f>
        <v>737.27992463403655</v>
      </c>
      <c r="F5" s="2855">
        <f t="shared" ref="F5" si="6">F6*(1+Q5)</f>
        <v>335.88319198297864</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2903</v>
      </c>
      <c r="X5" s="2862">
        <f>ROUND(SUMPRODUCT(PRODUCT(1+N5:N$37)),4)</f>
        <v>1.7078</v>
      </c>
      <c r="Y5" s="2862">
        <f>ROUND(SUMPRODUCT(PRODUCT(1+O5:O$37)),4)</f>
        <v>1.3996999999999999</v>
      </c>
      <c r="Z5" s="2862">
        <f t="shared" ref="Z5" si="11">Y5</f>
        <v>1.3996999999999999</v>
      </c>
      <c r="AA5" s="2862">
        <f>ROUND(SUMPRODUCT(PRODUCT(1+P5:P$37)),4)</f>
        <v>1.8006</v>
      </c>
      <c r="AB5" s="2862">
        <f>ROUND(SUMPRODUCT(PRODUCT(1+Q5:Q$37)),4)</f>
        <v>1.4807999999999999</v>
      </c>
      <c r="AD5" s="2863">
        <f>ROUND(AVERAGE(I5:I$37)/100,4)</f>
        <v>1.6400000000000001E-2</v>
      </c>
      <c r="AE5" s="2863">
        <f>ROUND(AVERAGE(J5:J$37)/100,4)</f>
        <v>1.03E-2</v>
      </c>
      <c r="AF5" s="2863">
        <f t="shared" ref="AF5" si="12">AE5</f>
        <v>1.03E-2</v>
      </c>
      <c r="AG5" s="2863">
        <f>ROUND(AVERAGE(K5:K$37)/100,4)</f>
        <v>1.8100000000000002E-2</v>
      </c>
      <c r="AH5" s="2863">
        <f>ROUND(AVERAGE(L5:L$37)/100,4)</f>
        <v>1.2E-2</v>
      </c>
    </row>
    <row r="6" spans="1:34" s="2871" customFormat="1">
      <c r="A6" s="2864" t="s">
        <v>3122</v>
      </c>
      <c r="B6" s="2865">
        <f t="shared" ref="B6" si="13">B7*(1+N6)</f>
        <v>510.07089659554606</v>
      </c>
      <c r="C6" s="2865">
        <f t="shared" ref="C6" si="14">C7*(1+O6)</f>
        <v>352.55593185737411</v>
      </c>
      <c r="D6" s="2865">
        <f t="shared" ref="D6" si="15">C6</f>
        <v>352.55593185737411</v>
      </c>
      <c r="E6" s="2865">
        <f t="shared" ref="E6" si="16">E7*(1+P6)</f>
        <v>737.27992463403655</v>
      </c>
      <c r="F6" s="2865">
        <f t="shared" ref="F6" si="17">F7*(1+Q6)</f>
        <v>335.88319198297864</v>
      </c>
      <c r="G6" s="2848">
        <v>2021</v>
      </c>
      <c r="H6" s="2866">
        <v>4</v>
      </c>
      <c r="I6" s="2828">
        <v>1.03</v>
      </c>
      <c r="J6" s="2828">
        <v>0.24</v>
      </c>
      <c r="K6" s="2828">
        <v>1.17</v>
      </c>
      <c r="L6" s="2829">
        <v>0.55000000000000004</v>
      </c>
      <c r="M6" s="2852"/>
      <c r="N6" s="2867">
        <f t="shared" ref="N6" si="18">I6/100</f>
        <v>1.03E-2</v>
      </c>
      <c r="O6" s="2853">
        <f t="shared" ref="O6" si="19">J6/100</f>
        <v>2.3999999999999998E-3</v>
      </c>
      <c r="P6" s="2853">
        <f t="shared" ref="P6" si="20">K6/100</f>
        <v>1.1699999999999999E-2</v>
      </c>
      <c r="Q6" s="2853">
        <f t="shared" ref="Q6" si="21">L6/100</f>
        <v>5.5000000000000005E-3</v>
      </c>
      <c r="R6" s="2868"/>
      <c r="S6" s="2869"/>
      <c r="T6" s="2870"/>
      <c r="U6" s="2870"/>
      <c r="V6" s="2870"/>
      <c r="W6" s="2852"/>
      <c r="X6" s="2852">
        <f>ROUND(SUMPRODUCT(PRODUCT(1+N6:N$37)),4)</f>
        <v>1.7078</v>
      </c>
      <c r="Y6" s="2852">
        <f>ROUND(SUMPRODUCT(PRODUCT(1+O6:O$37)),4)</f>
        <v>1.3996999999999999</v>
      </c>
      <c r="Z6" s="2852">
        <f t="shared" ref="Z6" si="22">Y6</f>
        <v>1.3996999999999999</v>
      </c>
      <c r="AA6" s="2852">
        <f>ROUND(SUMPRODUCT(PRODUCT(1+P6:P$37)),4)</f>
        <v>1.8006</v>
      </c>
      <c r="AB6" s="2852">
        <f>ROUND(SUMPRODUCT(PRODUCT(1+Q6:Q$37)),4)</f>
        <v>1.4807999999999999</v>
      </c>
      <c r="AC6" s="2852"/>
      <c r="AD6" s="2853">
        <f>ROUND(AVERAGE(I6:I$37)/100,4)</f>
        <v>1.6899999999999998E-2</v>
      </c>
      <c r="AE6" s="2853">
        <f>ROUND(AVERAGE(J6:J$37)/100,4)</f>
        <v>1.06E-2</v>
      </c>
      <c r="AF6" s="2853">
        <f t="shared" ref="AF6" si="23">AE6</f>
        <v>1.06E-2</v>
      </c>
      <c r="AG6" s="2853">
        <f>ROUND(AVERAGE(K6:K$37)/100,4)</f>
        <v>1.8700000000000001E-2</v>
      </c>
      <c r="AH6" s="2853">
        <f>ROUND(AVERAGE(L6:L$37)/100,4)</f>
        <v>1.24E-2</v>
      </c>
    </row>
    <row r="7" spans="1:34" s="2871" customFormat="1">
      <c r="A7" s="2864" t="s">
        <v>2969</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2968</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2967</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2966</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2965</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2928</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2926</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2923</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2922</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2921</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2920</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2918</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04">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2911</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04"/>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2912</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04"/>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2908</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05"/>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2901</v>
      </c>
      <c r="B22" s="2881">
        <v>439</v>
      </c>
      <c r="C22" s="2881">
        <v>327</v>
      </c>
      <c r="D22" s="2881">
        <f t="shared" si="168"/>
        <v>327</v>
      </c>
      <c r="E22" s="2881">
        <v>627</v>
      </c>
      <c r="F22" s="2882">
        <v>283</v>
      </c>
      <c r="G22" s="3703">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2904</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04"/>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2533</v>
      </c>
      <c r="B24" s="2865">
        <f t="shared" si="179"/>
        <v>419.31181600000002</v>
      </c>
      <c r="C24" s="2865">
        <f t="shared" si="179"/>
        <v>313.95436800000004</v>
      </c>
      <c r="D24" s="2865">
        <f t="shared" si="168"/>
        <v>313.95436800000004</v>
      </c>
      <c r="E24" s="2865">
        <f t="shared" si="180"/>
        <v>596.63028431999999</v>
      </c>
      <c r="F24" s="2865">
        <f t="shared" si="180"/>
        <v>274.74220703999998</v>
      </c>
      <c r="G24" s="3704"/>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2534</v>
      </c>
      <c r="B25" s="2865">
        <f t="shared" si="179"/>
        <v>405.524</v>
      </c>
      <c r="C25" s="2865">
        <f t="shared" si="179"/>
        <v>307.79840000000002</v>
      </c>
      <c r="D25" s="2865">
        <f t="shared" si="168"/>
        <v>307.79840000000002</v>
      </c>
      <c r="E25" s="2865">
        <f t="shared" si="180"/>
        <v>574.67759999999998</v>
      </c>
      <c r="F25" s="2865">
        <f t="shared" si="180"/>
        <v>270.20280000000002</v>
      </c>
      <c r="G25" s="3705"/>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703">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04"/>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04"/>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07"/>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06">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04"/>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04"/>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07"/>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06">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04"/>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04"/>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07"/>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2592</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2535</v>
      </c>
      <c r="B38" s="2886">
        <v>299</v>
      </c>
      <c r="C38" s="2886">
        <v>252</v>
      </c>
      <c r="D38" s="2886">
        <f t="shared" si="189"/>
        <v>252</v>
      </c>
      <c r="E38" s="2886">
        <v>409</v>
      </c>
      <c r="F38" s="2887">
        <v>227</v>
      </c>
      <c r="G38" s="3711">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2536</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12"/>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2537</v>
      </c>
      <c r="B40" s="2865">
        <f t="shared" si="197"/>
        <v>288.2649053828776</v>
      </c>
      <c r="C40" s="2865">
        <f t="shared" si="197"/>
        <v>243.64564425013293</v>
      </c>
      <c r="D40" s="2865">
        <f t="shared" si="189"/>
        <v>243.64564425013293</v>
      </c>
      <c r="E40" s="2865">
        <f t="shared" si="198"/>
        <v>393.31080825986544</v>
      </c>
      <c r="F40" s="2865">
        <f t="shared" si="198"/>
        <v>223.07903790551154</v>
      </c>
      <c r="G40" s="3712"/>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2538</v>
      </c>
      <c r="B41" s="2865">
        <f t="shared" si="197"/>
        <v>282.50186729015837</v>
      </c>
      <c r="C41" s="2865">
        <f t="shared" si="197"/>
        <v>238.09796174155468</v>
      </c>
      <c r="D41" s="2865">
        <f t="shared" si="189"/>
        <v>238.09796174155468</v>
      </c>
      <c r="E41" s="2865">
        <f t="shared" si="198"/>
        <v>385.33438646014054</v>
      </c>
      <c r="F41" s="2865">
        <f t="shared" si="198"/>
        <v>221.55034055567739</v>
      </c>
      <c r="G41" s="3713"/>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2539</v>
      </c>
      <c r="B42" s="2914">
        <v>278</v>
      </c>
      <c r="C42" s="2914">
        <v>234</v>
      </c>
      <c r="D42" s="2914">
        <f t="shared" si="189"/>
        <v>234</v>
      </c>
      <c r="E42" s="2914">
        <v>379</v>
      </c>
      <c r="F42" s="2915">
        <v>220</v>
      </c>
      <c r="G42" s="3706">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2540</v>
      </c>
      <c r="B43" s="2865">
        <f>B42/(1+N42)</f>
        <v>275.49301357645425</v>
      </c>
      <c r="C43" s="2865">
        <f>C42/(1+O42)</f>
        <v>232.41954707985698</v>
      </c>
      <c r="D43" s="2865">
        <f t="shared" si="189"/>
        <v>232.41954707985698</v>
      </c>
      <c r="E43" s="2865">
        <f t="shared" ref="E43:F45" si="199">E42/(1+P42)</f>
        <v>375.32184591008121</v>
      </c>
      <c r="F43" s="2865">
        <f t="shared" si="199"/>
        <v>218.03766105054513</v>
      </c>
      <c r="G43" s="3704"/>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2541</v>
      </c>
      <c r="B44" s="2865">
        <f>B43/(1+N43)</f>
        <v>275.24529281292263</v>
      </c>
      <c r="C44" s="2865">
        <f>C43/(1+O43)</f>
        <v>231.74747938962707</v>
      </c>
      <c r="D44" s="2865">
        <f t="shared" si="189"/>
        <v>231.74747938962707</v>
      </c>
      <c r="E44" s="2865">
        <f t="shared" si="199"/>
        <v>375.35938184826603</v>
      </c>
      <c r="F44" s="2865">
        <f t="shared" si="199"/>
        <v>216.78033510692495</v>
      </c>
      <c r="G44" s="3704"/>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2542</v>
      </c>
      <c r="B45" s="2865">
        <f>B44/(1+N44)</f>
        <v>275.19025476197027</v>
      </c>
      <c r="C45" s="2916">
        <v>232</v>
      </c>
      <c r="D45" s="2916">
        <f t="shared" si="189"/>
        <v>232</v>
      </c>
      <c r="E45" s="2865">
        <f t="shared" si="199"/>
        <v>375.65990977608692</v>
      </c>
      <c r="F45" s="2865">
        <f t="shared" si="199"/>
        <v>214.12518283971252</v>
      </c>
      <c r="G45" s="3707"/>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2543</v>
      </c>
      <c r="B46" s="2886">
        <v>275</v>
      </c>
      <c r="C46" s="2886">
        <v>232</v>
      </c>
      <c r="D46" s="2886">
        <f t="shared" si="189"/>
        <v>232</v>
      </c>
      <c r="E46" s="2886">
        <v>376</v>
      </c>
      <c r="F46" s="2887">
        <v>213</v>
      </c>
      <c r="G46" s="3706">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2544</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04">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2545</v>
      </c>
      <c r="B48" s="2865">
        <f t="shared" si="200"/>
        <v>275.19335084830601</v>
      </c>
      <c r="C48" s="2865">
        <f t="shared" si="200"/>
        <v>230.18088050139744</v>
      </c>
      <c r="D48" s="2865">
        <f t="shared" si="189"/>
        <v>230.18088050139744</v>
      </c>
      <c r="E48" s="2865">
        <f t="shared" si="201"/>
        <v>377.58482925212331</v>
      </c>
      <c r="F48" s="2865">
        <f t="shared" si="201"/>
        <v>210.90687997847917</v>
      </c>
      <c r="G48" s="3704">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2546</v>
      </c>
      <c r="B49" s="2865">
        <f t="shared" si="200"/>
        <v>276.29854502841971</v>
      </c>
      <c r="C49" s="2865">
        <f t="shared" si="200"/>
        <v>229.79023709833027</v>
      </c>
      <c r="D49" s="2865">
        <f t="shared" si="189"/>
        <v>229.79023709833027</v>
      </c>
      <c r="E49" s="2865">
        <f t="shared" si="201"/>
        <v>379.78759731655936</v>
      </c>
      <c r="F49" s="2865">
        <f t="shared" si="201"/>
        <v>211.32953905659235</v>
      </c>
      <c r="G49" s="3707">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2547</v>
      </c>
      <c r="B50" s="2886">
        <v>269</v>
      </c>
      <c r="C50" s="2886">
        <v>221</v>
      </c>
      <c r="D50" s="2886">
        <f t="shared" si="189"/>
        <v>221</v>
      </c>
      <c r="E50" s="2886">
        <v>373</v>
      </c>
      <c r="F50" s="2887">
        <v>196</v>
      </c>
      <c r="G50" s="3706">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2548</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04">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2549</v>
      </c>
      <c r="B52" s="2865">
        <f t="shared" si="202"/>
        <v>242.95398227588385</v>
      </c>
      <c r="C52" s="2865">
        <f t="shared" si="202"/>
        <v>199.59137053614126</v>
      </c>
      <c r="D52" s="2865">
        <f t="shared" si="189"/>
        <v>199.59137053614126</v>
      </c>
      <c r="E52" s="2865">
        <f t="shared" si="203"/>
        <v>335.92189522342125</v>
      </c>
      <c r="F52" s="2865">
        <f t="shared" si="203"/>
        <v>183.10139991109489</v>
      </c>
      <c r="G52" s="3704">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2550</v>
      </c>
      <c r="B53" s="2865">
        <f t="shared" si="202"/>
        <v>232.06990378821649</v>
      </c>
      <c r="C53" s="2865">
        <f t="shared" si="202"/>
        <v>192.74878854286936</v>
      </c>
      <c r="D53" s="2865">
        <f t="shared" si="189"/>
        <v>192.74878854286936</v>
      </c>
      <c r="E53" s="2865">
        <f t="shared" si="203"/>
        <v>319.71247284992984</v>
      </c>
      <c r="F53" s="2865">
        <f t="shared" si="203"/>
        <v>175.67053622862409</v>
      </c>
      <c r="G53" s="3707">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2551</v>
      </c>
      <c r="B54" s="2886">
        <v>220</v>
      </c>
      <c r="C54" s="2886">
        <v>187</v>
      </c>
      <c r="D54" s="2886">
        <f t="shared" si="189"/>
        <v>187</v>
      </c>
      <c r="E54" s="2886">
        <v>301</v>
      </c>
      <c r="F54" s="2887">
        <v>168</v>
      </c>
      <c r="G54" s="3706">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2552</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04">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2553</v>
      </c>
      <c r="B56" s="2865">
        <f t="shared" si="204"/>
        <v>210.630522469011</v>
      </c>
      <c r="C56" s="2865">
        <f t="shared" si="204"/>
        <v>181.69567812247232</v>
      </c>
      <c r="D56" s="2865">
        <f t="shared" si="189"/>
        <v>181.69567812247232</v>
      </c>
      <c r="E56" s="2865">
        <f t="shared" si="205"/>
        <v>286.13517466736738</v>
      </c>
      <c r="F56" s="2865">
        <f t="shared" si="205"/>
        <v>165.47535084591149</v>
      </c>
      <c r="G56" s="3704">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2554</v>
      </c>
      <c r="B57" s="2865">
        <f t="shared" si="204"/>
        <v>208.83454537875372</v>
      </c>
      <c r="C57" s="2865">
        <f t="shared" si="204"/>
        <v>183.77230517090351</v>
      </c>
      <c r="D57" s="2865">
        <f t="shared" si="189"/>
        <v>183.77230517090351</v>
      </c>
      <c r="E57" s="2865">
        <f t="shared" si="205"/>
        <v>281.10342338870947</v>
      </c>
      <c r="F57" s="2865">
        <f t="shared" si="205"/>
        <v>168.97309388942256</v>
      </c>
      <c r="G57" s="3707">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2555</v>
      </c>
      <c r="B58" s="2914">
        <v>214</v>
      </c>
      <c r="C58" s="2914">
        <v>188</v>
      </c>
      <c r="D58" s="2914">
        <f t="shared" si="189"/>
        <v>188</v>
      </c>
      <c r="E58" s="2914">
        <v>289</v>
      </c>
      <c r="F58" s="2915">
        <v>166</v>
      </c>
      <c r="G58" s="3706">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2556</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04">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2557</v>
      </c>
      <c r="B60" s="2865">
        <f t="shared" si="206"/>
        <v>206.31694671589116</v>
      </c>
      <c r="C60" s="2865">
        <f t="shared" si="206"/>
        <v>183.61041121036101</v>
      </c>
      <c r="D60" s="2865">
        <f t="shared" si="189"/>
        <v>183.61041121036101</v>
      </c>
      <c r="E60" s="2865">
        <f t="shared" si="207"/>
        <v>276.66850301795557</v>
      </c>
      <c r="F60" s="2865">
        <f t="shared" si="207"/>
        <v>165.1360938278614</v>
      </c>
      <c r="G60" s="3704">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2558</v>
      </c>
      <c r="B61" s="2917">
        <f t="shared" si="206"/>
        <v>196.62341248059772</v>
      </c>
      <c r="C61" s="2917">
        <f t="shared" si="206"/>
        <v>170.99125648199012</v>
      </c>
      <c r="D61" s="2917">
        <f t="shared" si="189"/>
        <v>170.99125648199012</v>
      </c>
      <c r="E61" s="2917">
        <f t="shared" si="207"/>
        <v>266.07857570490052</v>
      </c>
      <c r="F61" s="2917">
        <f t="shared" si="207"/>
        <v>154.53499328828505</v>
      </c>
      <c r="G61" s="3707">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2559</v>
      </c>
      <c r="B62" s="2886">
        <v>188</v>
      </c>
      <c r="C62" s="2886">
        <v>165</v>
      </c>
      <c r="D62" s="2886">
        <f t="shared" si="189"/>
        <v>165</v>
      </c>
      <c r="E62" s="2886">
        <v>254</v>
      </c>
      <c r="F62" s="2887">
        <v>148</v>
      </c>
      <c r="G62" s="3706">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2560</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04">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2561</v>
      </c>
      <c r="B64" s="2865">
        <f t="shared" si="210"/>
        <v>168.82017748715555</v>
      </c>
      <c r="C64" s="2865">
        <f t="shared" si="210"/>
        <v>148.06267029972753</v>
      </c>
      <c r="D64" s="2865">
        <f t="shared" si="189"/>
        <v>148.06267029972753</v>
      </c>
      <c r="E64" s="2865">
        <f t="shared" si="211"/>
        <v>216.46288379323747</v>
      </c>
      <c r="F64" s="2865">
        <f t="shared" si="211"/>
        <v>134.23529411764704</v>
      </c>
      <c r="G64" s="3704">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2562</v>
      </c>
      <c r="B65" s="2865">
        <f t="shared" si="210"/>
        <v>163.84913591779542</v>
      </c>
      <c r="C65" s="2865">
        <f t="shared" si="210"/>
        <v>145.0283378746594</v>
      </c>
      <c r="D65" s="2865">
        <f t="shared" si="189"/>
        <v>145.0283378746594</v>
      </c>
      <c r="E65" s="2865">
        <f t="shared" si="211"/>
        <v>204.95180722891567</v>
      </c>
      <c r="F65" s="2865">
        <f t="shared" si="211"/>
        <v>125.95920303605313</v>
      </c>
      <c r="G65" s="3707">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2563</v>
      </c>
      <c r="B66" s="2893">
        <v>159</v>
      </c>
      <c r="C66" s="2893">
        <v>141</v>
      </c>
      <c r="D66" s="2893">
        <f t="shared" si="189"/>
        <v>141</v>
      </c>
      <c r="E66" s="2893">
        <v>195</v>
      </c>
      <c r="F66" s="2894">
        <v>122</v>
      </c>
      <c r="G66" s="3706">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2564</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04">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2565</v>
      </c>
      <c r="B68" s="2865">
        <f t="shared" si="214"/>
        <v>146.57412060301507</v>
      </c>
      <c r="C68" s="2865">
        <f t="shared" si="214"/>
        <v>136.46831955922866</v>
      </c>
      <c r="D68" s="2865">
        <f t="shared" si="189"/>
        <v>136.46831955922866</v>
      </c>
      <c r="E68" s="2865">
        <f t="shared" si="215"/>
        <v>166.73864894795128</v>
      </c>
      <c r="F68" s="2865">
        <f t="shared" si="215"/>
        <v>115.05882352941177</v>
      </c>
      <c r="G68" s="3704">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2566</v>
      </c>
      <c r="B69" s="2865">
        <f t="shared" si="214"/>
        <v>144.04145728643215</v>
      </c>
      <c r="C69" s="2865">
        <f t="shared" si="214"/>
        <v>136.12396694214877</v>
      </c>
      <c r="D69" s="2865">
        <f t="shared" si="189"/>
        <v>136.12396694214877</v>
      </c>
      <c r="E69" s="2865">
        <f t="shared" si="215"/>
        <v>158.32225913621264</v>
      </c>
      <c r="F69" s="2865">
        <f t="shared" si="215"/>
        <v>114.04278074866311</v>
      </c>
      <c r="G69" s="3707">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2567</v>
      </c>
      <c r="B70" s="2893">
        <v>138</v>
      </c>
      <c r="C70" s="2893">
        <v>131</v>
      </c>
      <c r="D70" s="2893">
        <f t="shared" si="189"/>
        <v>131</v>
      </c>
      <c r="E70" s="2893">
        <v>155</v>
      </c>
      <c r="F70" s="2894">
        <v>114</v>
      </c>
      <c r="G70" s="3706">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2568</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04">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2569</v>
      </c>
      <c r="B72" s="2865">
        <f t="shared" si="218"/>
        <v>124.29032258064517</v>
      </c>
      <c r="C72" s="2865">
        <f t="shared" si="218"/>
        <v>123.8968609865471</v>
      </c>
      <c r="D72" s="2865">
        <f t="shared" si="189"/>
        <v>123.8968609865471</v>
      </c>
      <c r="E72" s="2865">
        <f t="shared" si="219"/>
        <v>138.00507614213197</v>
      </c>
      <c r="F72" s="2865">
        <f t="shared" si="219"/>
        <v>107.96106557377048</v>
      </c>
      <c r="G72" s="3704">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2570</v>
      </c>
      <c r="B73" s="2865">
        <f t="shared" si="218"/>
        <v>122.57204301075269</v>
      </c>
      <c r="C73" s="2865">
        <f t="shared" si="218"/>
        <v>123.4932735426009</v>
      </c>
      <c r="D73" s="2865">
        <f t="shared" si="189"/>
        <v>123.4932735426009</v>
      </c>
      <c r="E73" s="2865">
        <f t="shared" si="219"/>
        <v>129.82233502538071</v>
      </c>
      <c r="F73" s="2865">
        <f t="shared" si="219"/>
        <v>107.39446721311475</v>
      </c>
      <c r="G73" s="3707">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2571</v>
      </c>
      <c r="B74" s="2914">
        <v>121</v>
      </c>
      <c r="C74" s="2914">
        <v>122</v>
      </c>
      <c r="D74" s="2914">
        <f t="shared" si="189"/>
        <v>122</v>
      </c>
      <c r="E74" s="2914">
        <v>124</v>
      </c>
      <c r="F74" s="2915">
        <v>107</v>
      </c>
      <c r="G74" s="3706">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2572</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04">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2573</v>
      </c>
      <c r="B76" s="2865">
        <f t="shared" si="222"/>
        <v>116.99099099099099</v>
      </c>
      <c r="C76" s="2865">
        <f t="shared" si="222"/>
        <v>118.84848484848486</v>
      </c>
      <c r="D76" s="2865">
        <f t="shared" si="189"/>
        <v>118.84848484848486</v>
      </c>
      <c r="E76" s="2865">
        <f t="shared" si="223"/>
        <v>117.60960960960961</v>
      </c>
      <c r="F76" s="2865">
        <f t="shared" si="223"/>
        <v>104</v>
      </c>
      <c r="G76" s="3704">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2574</v>
      </c>
      <c r="B77" s="2917">
        <f t="shared" si="222"/>
        <v>112.48648648648648</v>
      </c>
      <c r="C77" s="2917">
        <f t="shared" si="222"/>
        <v>115.21212121212122</v>
      </c>
      <c r="D77" s="2917">
        <f t="shared" si="189"/>
        <v>115.21212121212122</v>
      </c>
      <c r="E77" s="2917">
        <f t="shared" si="223"/>
        <v>110.4024024024024</v>
      </c>
      <c r="F77" s="2917">
        <f t="shared" si="223"/>
        <v>104</v>
      </c>
      <c r="G77" s="3707">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2575</v>
      </c>
      <c r="B78" s="2934">
        <v>111</v>
      </c>
      <c r="C78" s="2934">
        <v>114</v>
      </c>
      <c r="D78" s="2934">
        <f t="shared" si="189"/>
        <v>114</v>
      </c>
      <c r="E78" s="2934">
        <v>108</v>
      </c>
      <c r="F78" s="2935">
        <v>104</v>
      </c>
      <c r="G78" s="3706">
        <v>2003</v>
      </c>
      <c r="H78" s="2924">
        <v>4</v>
      </c>
      <c r="I78" s="2936"/>
      <c r="J78" s="2936"/>
      <c r="K78" s="2936"/>
      <c r="L78" s="2936"/>
      <c r="N78" s="2937"/>
      <c r="O78" s="2936"/>
      <c r="P78" s="2936"/>
      <c r="Q78" s="2936"/>
      <c r="S78" s="2937"/>
      <c r="T78" s="2936"/>
      <c r="U78" s="2936"/>
      <c r="V78" s="2936"/>
      <c r="X78" s="2928"/>
      <c r="Y78" s="2928"/>
      <c r="Z78" s="2928"/>
    </row>
    <row r="79" spans="1:26">
      <c r="A79" s="2864" t="s">
        <v>2576</v>
      </c>
      <c r="B79" s="2938">
        <f t="shared" ref="B79:C81" si="224">B80+(B$78-B$82)/4</f>
        <v>109.75</v>
      </c>
      <c r="C79" s="2938">
        <f t="shared" si="224"/>
        <v>112.25</v>
      </c>
      <c r="D79" s="2938">
        <f t="shared" si="189"/>
        <v>112.25</v>
      </c>
      <c r="E79" s="2938">
        <f t="shared" ref="E79:F81" si="225">E80+(E$78-E$82)/4</f>
        <v>107.25</v>
      </c>
      <c r="F79" s="2938">
        <f t="shared" si="225"/>
        <v>103.5</v>
      </c>
      <c r="G79" s="3704">
        <v>2003</v>
      </c>
      <c r="H79" s="2891">
        <v>3</v>
      </c>
      <c r="I79" s="2936"/>
      <c r="J79" s="2936"/>
      <c r="K79" s="2936"/>
      <c r="L79" s="2936"/>
      <c r="X79" s="2928"/>
      <c r="Y79" s="2928"/>
      <c r="Z79" s="2928"/>
    </row>
    <row r="80" spans="1:26">
      <c r="A80" s="2864" t="s">
        <v>2577</v>
      </c>
      <c r="B80" s="2938">
        <f t="shared" si="224"/>
        <v>108.5</v>
      </c>
      <c r="C80" s="2938">
        <f t="shared" si="224"/>
        <v>110.5</v>
      </c>
      <c r="D80" s="2938">
        <f t="shared" si="189"/>
        <v>110.5</v>
      </c>
      <c r="E80" s="2938">
        <f t="shared" si="225"/>
        <v>106.5</v>
      </c>
      <c r="F80" s="2938">
        <f t="shared" si="225"/>
        <v>103</v>
      </c>
      <c r="G80" s="3704">
        <v>2003</v>
      </c>
      <c r="H80" s="2879">
        <v>2</v>
      </c>
      <c r="I80" s="2936"/>
      <c r="J80" s="2936"/>
      <c r="K80" s="2936"/>
      <c r="L80" s="2936"/>
      <c r="X80" s="2928"/>
      <c r="Y80" s="2928"/>
      <c r="Z80" s="2928"/>
    </row>
    <row r="81" spans="1:26" ht="13.5" thickBot="1">
      <c r="A81" s="2864" t="s">
        <v>2578</v>
      </c>
      <c r="B81" s="2938">
        <f t="shared" si="224"/>
        <v>107.25</v>
      </c>
      <c r="C81" s="2938">
        <f t="shared" si="224"/>
        <v>108.75</v>
      </c>
      <c r="D81" s="2938">
        <f t="shared" si="189"/>
        <v>108.75</v>
      </c>
      <c r="E81" s="2938">
        <f t="shared" si="225"/>
        <v>105.75</v>
      </c>
      <c r="F81" s="2938">
        <f t="shared" si="225"/>
        <v>102.5</v>
      </c>
      <c r="G81" s="3707">
        <v>2003</v>
      </c>
      <c r="H81" s="2939">
        <v>1</v>
      </c>
      <c r="I81" s="2936"/>
      <c r="J81" s="2936"/>
      <c r="K81" s="2936"/>
      <c r="L81" s="2936"/>
      <c r="S81" s="2867"/>
      <c r="T81" s="2853"/>
      <c r="U81" s="2853"/>
      <c r="X81" s="2928"/>
      <c r="Y81" s="2928"/>
      <c r="Z81" s="2928"/>
    </row>
    <row r="82" spans="1:26" ht="13.5" thickBot="1">
      <c r="A82" s="2864" t="s">
        <v>2579</v>
      </c>
      <c r="B82" s="2940">
        <v>106</v>
      </c>
      <c r="C82" s="2940">
        <v>107</v>
      </c>
      <c r="D82" s="2940">
        <f t="shared" si="189"/>
        <v>107</v>
      </c>
      <c r="E82" s="2940">
        <v>105</v>
      </c>
      <c r="F82" s="2941">
        <v>102</v>
      </c>
      <c r="G82" s="3706">
        <v>2002</v>
      </c>
      <c r="H82" s="2888">
        <v>4</v>
      </c>
      <c r="I82" s="2936"/>
      <c r="J82" s="2936"/>
      <c r="K82" s="2936"/>
      <c r="L82" s="2936"/>
      <c r="N82" s="2937"/>
      <c r="O82" s="2936"/>
      <c r="P82" s="2936"/>
      <c r="Q82" s="2936"/>
      <c r="S82" s="2937"/>
      <c r="T82" s="2936"/>
      <c r="U82" s="2936"/>
      <c r="V82" s="2936"/>
      <c r="X82" s="2928"/>
      <c r="Y82" s="2928"/>
      <c r="Z82" s="2928"/>
    </row>
    <row r="83" spans="1:26">
      <c r="A83" s="2864" t="s">
        <v>2580</v>
      </c>
      <c r="B83" s="2938">
        <f t="shared" ref="B83:C85" si="226">B84+(B$82-B$86)/4</f>
        <v>105</v>
      </c>
      <c r="C83" s="2938">
        <f t="shared" si="226"/>
        <v>106</v>
      </c>
      <c r="D83" s="2938">
        <f t="shared" si="189"/>
        <v>106</v>
      </c>
      <c r="E83" s="2938">
        <f t="shared" ref="E83:F85" si="227">E84+(E$82-E$86)/4</f>
        <v>104.5</v>
      </c>
      <c r="F83" s="2938">
        <f t="shared" si="227"/>
        <v>101.5</v>
      </c>
      <c r="G83" s="3704">
        <v>2002</v>
      </c>
      <c r="H83" s="2891">
        <v>3</v>
      </c>
      <c r="I83" s="2936"/>
      <c r="J83" s="2936"/>
      <c r="K83" s="2936"/>
      <c r="L83" s="2936"/>
      <c r="X83" s="2928"/>
      <c r="Y83" s="2928"/>
      <c r="Z83" s="2928"/>
    </row>
    <row r="84" spans="1:26">
      <c r="A84" s="2864" t="s">
        <v>2581</v>
      </c>
      <c r="B84" s="2938">
        <f t="shared" si="226"/>
        <v>104</v>
      </c>
      <c r="C84" s="2938">
        <f t="shared" si="226"/>
        <v>105</v>
      </c>
      <c r="D84" s="2938">
        <f t="shared" si="189"/>
        <v>105</v>
      </c>
      <c r="E84" s="2938">
        <f t="shared" si="227"/>
        <v>104</v>
      </c>
      <c r="F84" s="2938">
        <f t="shared" si="227"/>
        <v>101</v>
      </c>
      <c r="G84" s="3704">
        <v>2002</v>
      </c>
      <c r="H84" s="2879">
        <v>2</v>
      </c>
      <c r="I84" s="2936"/>
      <c r="J84" s="2936"/>
      <c r="K84" s="2936"/>
      <c r="L84" s="2936"/>
      <c r="X84" s="2928"/>
      <c r="Y84" s="2928"/>
      <c r="Z84" s="2928"/>
    </row>
    <row r="85" spans="1:26" s="2901" customFormat="1" ht="13.5" thickBot="1">
      <c r="A85" s="2897" t="s">
        <v>2582</v>
      </c>
      <c r="B85" s="2904">
        <f t="shared" si="226"/>
        <v>103</v>
      </c>
      <c r="C85" s="2904">
        <f t="shared" si="226"/>
        <v>104</v>
      </c>
      <c r="D85" s="2904">
        <f t="shared" si="189"/>
        <v>104</v>
      </c>
      <c r="E85" s="2904">
        <f t="shared" si="227"/>
        <v>103.5</v>
      </c>
      <c r="F85" s="2904">
        <f t="shared" si="227"/>
        <v>100.5</v>
      </c>
      <c r="G85" s="3707">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2583</v>
      </c>
      <c r="G88" s="2951"/>
      <c r="N88" s="2951"/>
      <c r="S88" s="2951"/>
    </row>
    <row r="89" spans="1:26" s="2950" customFormat="1">
      <c r="A89" s="2950" t="s">
        <v>2584</v>
      </c>
      <c r="G89" s="2951"/>
      <c r="N89" s="2951"/>
      <c r="S89" s="2951"/>
    </row>
    <row r="90" spans="1:26" s="2950" customFormat="1">
      <c r="A90" s="2950" t="s">
        <v>2585</v>
      </c>
      <c r="G90" s="2951"/>
      <c r="I90" s="2952"/>
      <c r="J90" s="2952"/>
      <c r="K90" s="2952"/>
      <c r="L90" s="2952"/>
      <c r="N90" s="2953"/>
      <c r="O90" s="2952"/>
      <c r="P90" s="2952"/>
      <c r="Q90" s="2952"/>
      <c r="S90" s="2953"/>
      <c r="T90" s="2952"/>
      <c r="U90" s="2952"/>
      <c r="V90" s="2952"/>
    </row>
    <row r="91" spans="1:26" s="2950" customFormat="1">
      <c r="A91" s="2950" t="s">
        <v>2586</v>
      </c>
      <c r="G91" s="2951"/>
      <c r="N91" s="2951"/>
      <c r="S91" s="2951"/>
    </row>
    <row r="98" spans="7:22" ht="13.5" thickBot="1"/>
    <row r="99" spans="7:22">
      <c r="G99" s="2852"/>
      <c r="S99" s="2954" t="s">
        <v>2587</v>
      </c>
      <c r="T99" s="2955" t="s">
        <v>2588</v>
      </c>
      <c r="U99" s="2955" t="s">
        <v>2589</v>
      </c>
      <c r="V99" s="2955" t="s">
        <v>2590</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1872</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1873</v>
      </c>
    </row>
    <row r="6" spans="1:4" ht="18.75">
      <c r="A6" s="1679"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3" t="s">
        <v>2699</v>
      </c>
    </row>
    <row r="8" spans="1:4" ht="18.75">
      <c r="A8" s="1682" t="s">
        <v>1874</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1992</v>
      </c>
    </row>
    <row r="11" spans="1:4" ht="18.75">
      <c r="A11" s="1668" t="str">
        <f>TEXT(项目基本情况!D3,"yyyy年m月d日;;")&amp;IF(项目基本情况!B3=项目基本情况!D3,"（评估专业人员勘察现场之日）","")</f>
        <v>2022年3月2日</v>
      </c>
    </row>
    <row r="12" spans="1:4" ht="18.75">
      <c r="A12" s="1685" t="s">
        <v>1991</v>
      </c>
    </row>
    <row r="13" spans="1:4" ht="18.75">
      <c r="A13" s="1679" t="s">
        <v>2878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2038</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2039</v>
      </c>
    </row>
    <row r="20" spans="1:1" ht="18.75">
      <c r="A20" s="238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79" t="s">
        <v>2040</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2041</v>
      </c>
    </row>
    <row r="25" spans="1:1" ht="75">
      <c r="A25" s="1679" t="str">
        <f>定义!C53</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row>
    <row r="26" spans="1:1" ht="9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1993</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5" style="3213" customWidth="1"/>
    <col min="3" max="3" width="12.125" style="3213" customWidth="1"/>
    <col min="4" max="4" width="16.625" style="3213" customWidth="1"/>
    <col min="5" max="5" width="12.5" style="3213" customWidth="1"/>
    <col min="6" max="6" width="12.75" style="3213" customWidth="1"/>
    <col min="7" max="16384" width="8.875" style="3213"/>
  </cols>
  <sheetData>
    <row r="1" spans="1:14" ht="20.25">
      <c r="A1" s="3216" t="s">
        <v>2885</v>
      </c>
      <c r="B1" s="3211"/>
      <c r="C1" s="3211"/>
      <c r="D1" s="3211"/>
      <c r="E1" s="3211"/>
      <c r="F1" s="3211"/>
      <c r="G1" s="3212"/>
      <c r="H1" s="3212"/>
      <c r="I1" s="3212"/>
      <c r="J1" s="3212"/>
      <c r="K1" s="3212"/>
      <c r="L1" s="3212"/>
      <c r="M1" s="3212"/>
      <c r="N1" s="3212"/>
    </row>
    <row r="2" spans="1:14" ht="14.25">
      <c r="A2" s="3217" t="s">
        <v>2880</v>
      </c>
      <c r="B2" s="3222">
        <f ca="1">SUMIF(B7:B14,"&lt;&gt;#ref!",B7:B14)</f>
        <v>0</v>
      </c>
      <c r="C2" s="3217" t="s">
        <v>2881</v>
      </c>
      <c r="D2" s="3214"/>
      <c r="E2" s="3214"/>
      <c r="F2" s="3214"/>
      <c r="G2" s="3212"/>
      <c r="H2" s="3212"/>
      <c r="I2" s="3212"/>
      <c r="J2" s="3212"/>
      <c r="K2" s="3212"/>
      <c r="L2" s="3212"/>
      <c r="M2" s="3212"/>
      <c r="N2" s="3212"/>
    </row>
    <row r="3" spans="1:14" ht="14.25">
      <c r="A3" s="3217" t="s">
        <v>2909</v>
      </c>
      <c r="B3" s="3222" t="e">
        <f ca="1">ROUND(B2*10000/E3,0)</f>
        <v>#DIV/0!</v>
      </c>
      <c r="C3" s="3217" t="s">
        <v>2044</v>
      </c>
      <c r="D3" s="3217" t="s">
        <v>2882</v>
      </c>
      <c r="E3" s="3215">
        <f ca="1">SUMIF(E7:E14,"&lt;&gt;#ref!",E7:E14)</f>
        <v>0</v>
      </c>
      <c r="F3" s="3214"/>
      <c r="G3" s="3212"/>
      <c r="H3" s="3212"/>
      <c r="I3" s="3212"/>
      <c r="J3" s="3212"/>
      <c r="K3" s="3212"/>
      <c r="L3" s="3212"/>
      <c r="M3" s="3212"/>
      <c r="N3" s="3212"/>
    </row>
    <row r="4" spans="1:14" ht="14.25">
      <c r="A4" s="3217" t="s">
        <v>2888</v>
      </c>
      <c r="B4" s="3222" t="e">
        <f ca="1">ROUND(B2*10000/E4,0)</f>
        <v>#DIV/0!</v>
      </c>
      <c r="C4" s="3217" t="s">
        <v>2044</v>
      </c>
      <c r="D4" s="3217" t="s">
        <v>2889</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2886</v>
      </c>
      <c r="B6" s="3217" t="s">
        <v>2883</v>
      </c>
      <c r="C6" s="2756"/>
      <c r="D6" s="3214"/>
      <c r="E6" s="3217" t="s">
        <v>2884</v>
      </c>
      <c r="F6" s="3217" t="s">
        <v>2887</v>
      </c>
      <c r="G6" s="3212"/>
      <c r="H6" s="3212"/>
      <c r="I6" s="3212"/>
      <c r="J6" s="3212"/>
      <c r="K6" s="3212"/>
      <c r="L6" s="3212"/>
      <c r="M6" s="3212"/>
      <c r="N6" s="3212"/>
    </row>
    <row r="7" spans="1:14" ht="14.25">
      <c r="A7" s="3220"/>
      <c r="B7" s="3222" t="e">
        <f ca="1">SUMIF(INDIRECT("'"&amp;A7&amp;"'"&amp;"!A:A"),"总价",INDIRECT("'"&amp;A7&amp;"'"&amp;"!B:B"))</f>
        <v>#REF!</v>
      </c>
      <c r="C7" s="3217" t="s">
        <v>2881</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2881</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2881</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2881</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2881</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2881</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2881</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2881</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2335</v>
      </c>
      <c r="F1" s="2214">
        <f ca="1">J54</f>
        <v>0</v>
      </c>
      <c r="G1" s="746">
        <f>MATCH(C1,'数据-取费表'!A6:A16,0)+5</f>
        <v>6</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1660</v>
      </c>
      <c r="B3" s="1314" t="e">
        <f ca="1">ROUND(B2*10000/'数据-汇总表'!E3,0)</f>
        <v>#DIV/0!</v>
      </c>
      <c r="C3" s="1278"/>
      <c r="D3" s="1910"/>
      <c r="E3" s="1911"/>
      <c r="F3" s="1911"/>
      <c r="G3" s="1499"/>
      <c r="H3" s="748" t="s">
        <v>673</v>
      </c>
      <c r="I3" s="1912"/>
      <c r="J3" s="1912"/>
      <c r="K3" s="1913"/>
      <c r="L3" s="1912"/>
      <c r="M3" s="1912"/>
    </row>
    <row r="4" spans="1:25" ht="18" customHeight="1">
      <c r="A4" s="1548" t="s">
        <v>674</v>
      </c>
      <c r="B4" s="1279" t="e">
        <f ca="1">ROUND(B2*10000/'数据-汇总表'!D3,0)</f>
        <v>#DIV/0!</v>
      </c>
      <c r="C4" s="422"/>
      <c r="D4" s="1910"/>
      <c r="E4" s="1911"/>
      <c r="F4" s="1911"/>
      <c r="G4" s="1499"/>
      <c r="H4" s="748"/>
      <c r="I4" s="1912"/>
      <c r="J4" s="1912"/>
      <c r="K4" s="1913"/>
      <c r="L4" s="1912"/>
      <c r="M4" s="1912"/>
    </row>
    <row r="5" spans="1:25" ht="18" customHeight="1" thickBot="1">
      <c r="A5" s="1549"/>
      <c r="B5" s="424" t="e">
        <f ca="1">ROUND(B2/('数据-汇总表'!D3/666.67),0)</f>
        <v>#DIV/0!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2411</v>
      </c>
      <c r="C7" s="53">
        <f ca="1">C8+C12+C14</f>
        <v>0</v>
      </c>
      <c r="D7" s="2318" t="s">
        <v>2414</v>
      </c>
      <c r="E7" s="2312"/>
      <c r="F7" s="2313"/>
      <c r="G7" s="1501"/>
      <c r="H7" s="753">
        <v>1</v>
      </c>
      <c r="I7" s="754" t="s">
        <v>2411</v>
      </c>
      <c r="J7" s="53">
        <f ca="1">J8+J12+J14</f>
        <v>0</v>
      </c>
      <c r="K7" s="2318" t="s">
        <v>2414</v>
      </c>
      <c r="L7" s="2312"/>
      <c r="M7" s="2313"/>
    </row>
    <row r="8" spans="1:25" ht="18" customHeight="1">
      <c r="A8" s="1718" t="s">
        <v>1798</v>
      </c>
      <c r="B8" s="3715" t="s">
        <v>2416</v>
      </c>
      <c r="C8" s="1713">
        <f ca="1">ROUND(F8*F10*F9*(1-F11)/10000,0)</f>
        <v>0</v>
      </c>
      <c r="D8" s="1710" t="s">
        <v>2487</v>
      </c>
      <c r="E8" s="61" t="s">
        <v>615</v>
      </c>
      <c r="F8" s="757">
        <f ca="1">INDIRECT("'数据-取费表'!u"&amp;$G$1)</f>
        <v>0</v>
      </c>
      <c r="G8" s="1501"/>
      <c r="H8" s="2326" t="s">
        <v>1798</v>
      </c>
      <c r="I8" s="3715" t="s">
        <v>2416</v>
      </c>
      <c r="J8" s="755">
        <f ca="1">ROUND(M8*M10*M9*(1-M11)/10000,0)</f>
        <v>0</v>
      </c>
      <c r="K8" s="339" t="s">
        <v>2487</v>
      </c>
      <c r="L8" s="756" t="s">
        <v>1712</v>
      </c>
      <c r="M8" s="757">
        <f ca="1">INDIRECT("'数据-取费表'!z"&amp;$G$1)</f>
        <v>0</v>
      </c>
    </row>
    <row r="9" spans="1:25" ht="18" customHeight="1">
      <c r="A9" s="2322"/>
      <c r="B9" s="3716"/>
      <c r="C9" s="1714"/>
      <c r="D9" s="1711"/>
      <c r="E9" s="61" t="s">
        <v>616</v>
      </c>
      <c r="F9" s="757">
        <f ca="1">IF(INDIRECT("'数据-取费表'!ah"&amp;$G$1)="",INDIRECT("'数据-取费表'!k"&amp;$G$1),INDIRECT("'数据-取费表'!ah"&amp;$G$1))</f>
        <v>0</v>
      </c>
      <c r="G9" s="1501"/>
      <c r="H9" s="2311"/>
      <c r="I9" s="3716"/>
      <c r="J9" s="760"/>
      <c r="K9" s="761"/>
      <c r="L9" s="756" t="s">
        <v>1713</v>
      </c>
      <c r="M9" s="757">
        <f ca="1">F9</f>
        <v>0</v>
      </c>
    </row>
    <row r="10" spans="1:25" ht="18" customHeight="1">
      <c r="A10" s="2315"/>
      <c r="B10" s="3717"/>
      <c r="C10" s="1714"/>
      <c r="D10" s="1711"/>
      <c r="E10" s="61" t="s">
        <v>617</v>
      </c>
      <c r="F10" s="757">
        <f ca="1">INDIRECT("'数据-取费表'!ai"&amp;$G$1)</f>
        <v>0</v>
      </c>
      <c r="G10" s="1501"/>
      <c r="H10" s="2311"/>
      <c r="I10" s="3717"/>
      <c r="J10" s="760"/>
      <c r="K10" s="761"/>
      <c r="L10" s="756" t="s">
        <v>1714</v>
      </c>
      <c r="M10" s="757">
        <f ca="1">INDIRECT("'数据-取费表'!ai"&amp;$G$1)</f>
        <v>0</v>
      </c>
    </row>
    <row r="11" spans="1:25" ht="18" customHeight="1">
      <c r="A11" s="758"/>
      <c r="B11" s="3718"/>
      <c r="C11" s="1714"/>
      <c r="D11" s="1711"/>
      <c r="E11" s="61" t="s">
        <v>618</v>
      </c>
      <c r="F11" s="766">
        <f ca="1">INDIRECT("'数据-取费表'!w"&amp;$G$1)</f>
        <v>0</v>
      </c>
      <c r="G11" s="1501"/>
      <c r="H11" s="2327"/>
      <c r="I11" s="3717"/>
      <c r="J11" s="760"/>
      <c r="K11" s="761"/>
      <c r="L11" s="767" t="s">
        <v>1715</v>
      </c>
      <c r="M11" s="768">
        <f ca="1">INDIRECT("'数据-取费表'!ab"&amp;$G$1)</f>
        <v>0</v>
      </c>
    </row>
    <row r="12" spans="1:25" ht="18" customHeight="1">
      <c r="A12" s="1718" t="s">
        <v>1799</v>
      </c>
      <c r="B12" s="2316" t="s">
        <v>2412</v>
      </c>
      <c r="C12" s="771">
        <f ca="1">ROUND(IF(F12="押一",C8/12*F13,IF(F12="押二",C8/12*2*F13,IF(F12="押三",C8/12*3*F13,C13*F13))),0)</f>
        <v>0</v>
      </c>
      <c r="D12" s="2323" t="s">
        <v>2906</v>
      </c>
      <c r="E12" s="2320" t="s">
        <v>2417</v>
      </c>
      <c r="F12" s="2433"/>
      <c r="G12" s="1501"/>
      <c r="H12" s="2383" t="s">
        <v>1799</v>
      </c>
      <c r="I12" s="2388" t="s">
        <v>2412</v>
      </c>
      <c r="J12" s="755">
        <f ca="1">ROUND(IF(M12="押一",J8/12*M13,IF(M12="押二",J8/12*2*M13,IF(M12="押三",J8/12*3*M13,J13*M13))),0)</f>
        <v>0</v>
      </c>
      <c r="K12" s="2323" t="s">
        <v>2906</v>
      </c>
      <c r="L12" s="2320" t="s">
        <v>2417</v>
      </c>
      <c r="M12" s="2433"/>
    </row>
    <row r="13" spans="1:25" ht="18" customHeight="1">
      <c r="A13" s="762"/>
      <c r="B13" s="2317" t="s">
        <v>2526</v>
      </c>
      <c r="C13" s="2321"/>
      <c r="D13" s="761"/>
      <c r="E13" s="2320" t="s">
        <v>2409</v>
      </c>
      <c r="F13" s="768">
        <f ca="1">'数据-取费表'!B39</f>
        <v>1.4999999999999999E-2</v>
      </c>
      <c r="G13" s="1501"/>
      <c r="H13" s="2384"/>
      <c r="I13" s="2317" t="s">
        <v>2526</v>
      </c>
      <c r="J13" s="2321"/>
      <c r="K13" s="2385"/>
      <c r="L13" s="2320" t="s">
        <v>2409</v>
      </c>
      <c r="M13" s="2314">
        <f ca="1">'数据-取费表'!B39</f>
        <v>1.4999999999999999E-2</v>
      </c>
    </row>
    <row r="14" spans="1:25" ht="18" customHeight="1" thickBot="1">
      <c r="A14" s="2359" t="s">
        <v>2420</v>
      </c>
      <c r="B14" s="2360" t="s">
        <v>2413</v>
      </c>
      <c r="C14" s="2361"/>
      <c r="D14" s="2362"/>
      <c r="E14" s="2363"/>
      <c r="F14" s="2364"/>
      <c r="G14" s="1501"/>
      <c r="H14" s="2373" t="s">
        <v>2420</v>
      </c>
      <c r="I14" s="2386" t="s">
        <v>2413</v>
      </c>
      <c r="J14" s="2387"/>
      <c r="K14" s="2362"/>
      <c r="L14" s="2363"/>
      <c r="M14" s="2376"/>
    </row>
    <row r="15" spans="1:25" ht="18" customHeight="1" thickTop="1">
      <c r="A15" s="1717" t="s">
        <v>1842</v>
      </c>
      <c r="B15" s="1715" t="s">
        <v>619</v>
      </c>
      <c r="C15" s="764" t="e">
        <f ca="1">ROUND(C31*F15,0)</f>
        <v>#VALUE!</v>
      </c>
      <c r="D15" s="1722" t="s">
        <v>620</v>
      </c>
      <c r="E15" s="767" t="s">
        <v>621</v>
      </c>
      <c r="F15" s="772">
        <f ca="1">INDIRECT("'数据-取费表'!y"&amp;$G$1)</f>
        <v>0</v>
      </c>
      <c r="G15" s="1501"/>
      <c r="H15" s="1717" t="s">
        <v>1800</v>
      </c>
      <c r="I15" s="1715" t="s">
        <v>622</v>
      </c>
      <c r="J15" s="1707" t="e">
        <f ca="1">ROUND(J16*J17,0)</f>
        <v>#VALUE!</v>
      </c>
      <c r="K15" s="1709" t="s">
        <v>620</v>
      </c>
      <c r="L15" s="773"/>
      <c r="M15" s="774"/>
    </row>
    <row r="16" spans="1:25" ht="18" customHeight="1">
      <c r="A16" s="775" t="s">
        <v>1843</v>
      </c>
      <c r="B16" s="756" t="s">
        <v>623</v>
      </c>
      <c r="C16" s="776">
        <f ca="1">INDIRECT("'数据-取费表'!m"&amp;$G$1)+INDIRECT("'数据-取费表'!t"&amp;$G$1)</f>
        <v>0</v>
      </c>
      <c r="D16" s="1865" t="s">
        <v>624</v>
      </c>
      <c r="E16" s="1866"/>
      <c r="F16" s="777"/>
      <c r="G16" s="1501"/>
      <c r="H16" s="775" t="s">
        <v>2035</v>
      </c>
      <c r="I16" s="2082" t="s">
        <v>2776</v>
      </c>
      <c r="J16" s="53" t="e">
        <f ca="1">C31</f>
        <v>#VALUE!</v>
      </c>
      <c r="K16" s="26"/>
      <c r="L16" s="773"/>
      <c r="M16" s="774"/>
    </row>
    <row r="17" spans="1:25" s="1919" customFormat="1" ht="18" customHeight="1">
      <c r="A17" s="775" t="s">
        <v>1823</v>
      </c>
      <c r="B17" s="756" t="s">
        <v>625</v>
      </c>
      <c r="C17" s="53">
        <f ca="1">ROUND(C16*F17,0)</f>
        <v>0</v>
      </c>
      <c r="D17" s="778" t="s">
        <v>626</v>
      </c>
      <c r="E17" s="778" t="s">
        <v>627</v>
      </c>
      <c r="F17" s="779">
        <f>'数据-取费表'!B33</f>
        <v>0</v>
      </c>
      <c r="G17" s="1502"/>
      <c r="H17" s="775" t="s">
        <v>2036</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1824</v>
      </c>
      <c r="B18" s="756" t="s">
        <v>628</v>
      </c>
      <c r="C18" s="53">
        <f ca="1">ROUND(INDIRECT("'数据-取费表'!m"&amp;$G$1)*F18,0)</f>
        <v>0</v>
      </c>
      <c r="D18" s="756" t="s">
        <v>626</v>
      </c>
      <c r="E18" s="756" t="s">
        <v>627</v>
      </c>
      <c r="F18" s="781">
        <f ca="1">IF(INDIRECT("'数据-取费表'!c"&amp;$G$1)="住宅",'数据-取费表'!B34,0)</f>
        <v>0</v>
      </c>
      <c r="G18" s="1501"/>
      <c r="H18" s="769" t="s">
        <v>1801</v>
      </c>
      <c r="I18" s="770" t="s">
        <v>629</v>
      </c>
      <c r="J18" s="771" t="e">
        <f ca="1">ROUND(J19+J24+J25+J26,0)</f>
        <v>#VALUE!</v>
      </c>
      <c r="K18" s="26" t="s">
        <v>630</v>
      </c>
      <c r="L18" s="1868"/>
      <c r="M18" s="56"/>
    </row>
    <row r="19" spans="1:25" s="1919" customFormat="1" ht="18" customHeight="1">
      <c r="A19" s="775" t="s">
        <v>1825</v>
      </c>
      <c r="B19" s="756" t="s">
        <v>631</v>
      </c>
      <c r="C19" s="53">
        <f ca="1">ROUND(F19*(INDIRECT("'数据-取费表'!k"&amp;$G$1)+INDIRECT("'数据-取费表'!S"&amp;$G$1))/10000,0)</f>
        <v>0</v>
      </c>
      <c r="D19" s="756" t="s">
        <v>632</v>
      </c>
      <c r="E19" s="756" t="s">
        <v>633</v>
      </c>
      <c r="F19" s="56">
        <f>'数据-取费表'!B35</f>
        <v>0</v>
      </c>
      <c r="G19" s="1502"/>
      <c r="H19" s="775" t="s">
        <v>2035</v>
      </c>
      <c r="I19" s="756" t="s">
        <v>634</v>
      </c>
      <c r="J19" s="2985" t="e">
        <f ca="1">ROUND(IF(AND(项目基本情况!B11="自然人",项目基本情况!B10="北京市"),J8*M19/(1+'数据-取费表'!C42),J20+J21+J22),0)</f>
        <v>#VALUE!</v>
      </c>
      <c r="K19" s="1865" t="s">
        <v>635</v>
      </c>
      <c r="L19" s="1863" t="s">
        <v>636</v>
      </c>
      <c r="M19" s="2984">
        <f ca="1">IF(项目基本情况!B11="企业","——",IF('数据-取费表'!B10="住宅",IF(M8*M9*M10/12/(1+'数据-取费表'!F30)&gt;100000,4%,2.5%),IF(M8*M9*M10/12/(1+'数据-取费表'!F30)&gt;100000,12%,7%)))</f>
        <v>7.0000000000000007E-2</v>
      </c>
      <c r="N19" s="1918"/>
      <c r="O19" s="1918"/>
      <c r="P19" s="1918"/>
      <c r="Q19" s="1918"/>
      <c r="R19" s="1918"/>
      <c r="S19" s="1918"/>
      <c r="T19" s="1918"/>
      <c r="U19" s="1918"/>
      <c r="V19" s="1918"/>
      <c r="W19" s="1918"/>
      <c r="X19" s="1918"/>
      <c r="Y19" s="1918"/>
    </row>
    <row r="20" spans="1:25" s="1919" customFormat="1" ht="18" customHeight="1">
      <c r="A20" s="775" t="s">
        <v>1826</v>
      </c>
      <c r="B20" s="756" t="s">
        <v>637</v>
      </c>
      <c r="C20" s="53">
        <f ca="1">ROUND(C16*F20,0)</f>
        <v>0</v>
      </c>
      <c r="D20" s="756" t="s">
        <v>626</v>
      </c>
      <c r="E20" s="756" t="s">
        <v>627</v>
      </c>
      <c r="F20" s="781">
        <f>'数据-取费表'!B36</f>
        <v>0</v>
      </c>
      <c r="G20" s="1502"/>
      <c r="H20" s="775" t="s">
        <v>1805</v>
      </c>
      <c r="I20" s="756" t="s">
        <v>638</v>
      </c>
      <c r="J20" s="53">
        <f ca="1">ROUND(J8*M20/(1+'数据-取费表'!C42),1)</f>
        <v>0</v>
      </c>
      <c r="K20" s="1863" t="s">
        <v>639</v>
      </c>
      <c r="L20" s="756" t="s">
        <v>627</v>
      </c>
      <c r="M20" s="781">
        <f>'数据-取费表'!B41</f>
        <v>0</v>
      </c>
      <c r="N20" s="1918"/>
      <c r="O20" s="1918"/>
      <c r="P20" s="1918"/>
      <c r="Q20" s="1918"/>
      <c r="R20" s="1918"/>
      <c r="S20" s="1918"/>
      <c r="T20" s="1918"/>
      <c r="U20" s="1918"/>
      <c r="V20" s="1918"/>
      <c r="W20" s="1918"/>
      <c r="X20" s="1918"/>
      <c r="Y20" s="1918"/>
    </row>
    <row r="21" spans="1:25" ht="18" customHeight="1">
      <c r="A21" s="775" t="s">
        <v>1844</v>
      </c>
      <c r="B21" s="756" t="s">
        <v>640</v>
      </c>
      <c r="C21" s="53">
        <f ca="1">SUM(C16:C20)</f>
        <v>0</v>
      </c>
      <c r="D21" s="259" t="s">
        <v>641</v>
      </c>
      <c r="E21" s="1868"/>
      <c r="F21" s="56"/>
      <c r="G21" s="1501"/>
      <c r="H21" s="1718" t="s">
        <v>1823</v>
      </c>
      <c r="I21" s="756" t="s">
        <v>642</v>
      </c>
      <c r="J21" s="53" t="e">
        <f ca="1">IF(K21="按租金收入计税",ROUND(J8*M21/(1+'数据-取费表'!C42),1),ROUND(C31*F35*0.7,1))</f>
        <v>#VALUE!</v>
      </c>
      <c r="K21" s="782" t="s">
        <v>643</v>
      </c>
      <c r="L21" s="756" t="s">
        <v>627</v>
      </c>
      <c r="M21" s="781">
        <f>IF(K21="按租金收入计税",'数据-取费表'!B51,'数据-取费表'!B50)</f>
        <v>1.2E-2</v>
      </c>
    </row>
    <row r="22" spans="1:25" s="1919" customFormat="1" ht="18" customHeight="1">
      <c r="A22" s="775" t="s">
        <v>1845</v>
      </c>
      <c r="B22" s="756" t="s">
        <v>644</v>
      </c>
      <c r="C22" s="53">
        <f ca="1">ROUND(C21*F22,0)</f>
        <v>0</v>
      </c>
      <c r="D22" s="783" t="s">
        <v>645</v>
      </c>
      <c r="E22" s="756" t="s">
        <v>627</v>
      </c>
      <c r="F22" s="781">
        <f>'数据-取费表'!B37</f>
        <v>0</v>
      </c>
      <c r="G22" s="1502"/>
      <c r="H22" s="1720" t="s">
        <v>1824</v>
      </c>
      <c r="I22" s="1710" t="s">
        <v>646</v>
      </c>
      <c r="J22" s="54">
        <f ca="1">ROUND(M22*M23/10000,0)</f>
        <v>0</v>
      </c>
      <c r="K22" s="785" t="s">
        <v>647</v>
      </c>
      <c r="L22" s="756" t="s">
        <v>648</v>
      </c>
      <c r="M22" s="614">
        <f>'数据-取费表'!B52</f>
        <v>0</v>
      </c>
      <c r="N22" s="1918"/>
      <c r="O22" s="1918"/>
      <c r="P22" s="1918"/>
      <c r="Q22" s="1918"/>
      <c r="R22" s="1918"/>
      <c r="S22" s="1918"/>
      <c r="T22" s="1918"/>
      <c r="U22" s="1918"/>
      <c r="V22" s="1918"/>
      <c r="W22" s="1918"/>
      <c r="X22" s="1918"/>
      <c r="Y22" s="1918"/>
    </row>
    <row r="23" spans="1:25" s="1919" customFormat="1" ht="18" customHeight="1">
      <c r="A23" s="775" t="s">
        <v>1846</v>
      </c>
      <c r="B23" s="756" t="s">
        <v>649</v>
      </c>
      <c r="C23" s="53" t="s">
        <v>1</v>
      </c>
      <c r="D23" s="783" t="s">
        <v>650</v>
      </c>
      <c r="E23" s="756" t="s">
        <v>651</v>
      </c>
      <c r="F23" s="781">
        <f>'数据-取费表'!B38</f>
        <v>0</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1847</v>
      </c>
      <c r="B24" s="756" t="s">
        <v>653</v>
      </c>
      <c r="C24" s="53"/>
      <c r="D24" s="2392" t="str">
        <f>IF(F25&lt;=1,"单利计息。","复利计息。")&amp;"建造成本、管理费用、销售费用产生的利息。"</f>
        <v>单利计息。建造成本、管理费用、销售费用产生的利息。</v>
      </c>
      <c r="E24" s="1868"/>
      <c r="F24" s="56"/>
      <c r="G24" s="1501"/>
      <c r="H24" s="1719" t="s">
        <v>2036</v>
      </c>
      <c r="I24" s="756" t="s">
        <v>654</v>
      </c>
      <c r="J24" s="53" t="e">
        <f ca="1">ROUND(J16*M24,0)</f>
        <v>#VALUE!</v>
      </c>
      <c r="K24" s="1863" t="s">
        <v>655</v>
      </c>
      <c r="L24" s="756" t="s">
        <v>627</v>
      </c>
      <c r="M24" s="788">
        <f ca="1">INDIRECT("'数据-取费表'!Ak"&amp;$G$1)</f>
        <v>0</v>
      </c>
    </row>
    <row r="25" spans="1:25" s="1919" customFormat="1" ht="18" customHeight="1">
      <c r="A25" s="775" t="s">
        <v>1843</v>
      </c>
      <c r="B25" s="756" t="s">
        <v>2392</v>
      </c>
      <c r="C25" s="53" t="e">
        <f ca="1">ROUND(IF('数据-取费表'!B22&lt;=1,(C21+C22)*F26*F25/2,(C21+C22)*(POWER((1+F26),F25/2)-1)),0)</f>
        <v>#VALUE!</v>
      </c>
      <c r="D25" s="2391" t="str">
        <f>IF(F25&lt;=1,"(建造成本+管理费用)×利率×(建设周期÷2)","(建造成本+管理费用)×((1+利率)^(建设周期÷2)-1)")</f>
        <v>(建造成本+管理费用)×利率×(建设周期÷2)</v>
      </c>
      <c r="E25" s="756" t="s">
        <v>656</v>
      </c>
      <c r="F25" s="614">
        <f>'数据-取费表'!B20</f>
        <v>0</v>
      </c>
      <c r="G25" s="1502"/>
      <c r="H25" s="775" t="s">
        <v>1846</v>
      </c>
      <c r="I25" s="756" t="s">
        <v>657</v>
      </c>
      <c r="J25" s="53" t="e">
        <f ca="1">ROUND(J15*M25,0)</f>
        <v>#VALUE!</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1823</v>
      </c>
      <c r="B26" s="756" t="s">
        <v>659</v>
      </c>
      <c r="C26" s="53" t="e">
        <f ca="1">ROUND(IF('数据-取费表'!B22&lt;=1,F23*F26*F25/2,F23*(POWER((1+F26),F25/2)-1)),4)</f>
        <v>#VALUE!</v>
      </c>
      <c r="D26" s="2391" t="str">
        <f>IF(F25&lt;=1,"销售费用×利率×(建设周期÷2)","销售费用×((1+利率)^(建设周期÷2)-1)")</f>
        <v>销售费用×利率×(建设周期÷2)</v>
      </c>
      <c r="E26" s="756" t="s">
        <v>660</v>
      </c>
      <c r="F26" s="790" t="e">
        <f ca="1">'数据-取费表'!B40</f>
        <v>#VALUE!</v>
      </c>
      <c r="G26" s="1502"/>
      <c r="H26" s="775" t="s">
        <v>1847</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1849</v>
      </c>
      <c r="B27" s="756" t="s">
        <v>662</v>
      </c>
      <c r="C27" s="53"/>
      <c r="D27" s="259" t="s">
        <v>663</v>
      </c>
      <c r="E27" s="1868"/>
      <c r="F27" s="56"/>
      <c r="G27" s="1501"/>
      <c r="H27" s="769" t="s">
        <v>1802</v>
      </c>
      <c r="I27" s="2692" t="s">
        <v>2773</v>
      </c>
      <c r="J27" s="771" t="e">
        <f ca="1">J7-J18</f>
        <v>#VALUE!</v>
      </c>
      <c r="K27" s="1865" t="s">
        <v>678</v>
      </c>
      <c r="L27" s="1867"/>
      <c r="M27" s="791"/>
    </row>
    <row r="28" spans="1:25" ht="18" customHeight="1">
      <c r="A28" s="775" t="s">
        <v>1843</v>
      </c>
      <c r="B28" s="756" t="s">
        <v>2393</v>
      </c>
      <c r="C28" s="53">
        <f ca="1">ROUND((C21+C22)*F28,0)</f>
        <v>0</v>
      </c>
      <c r="D28" s="783" t="s">
        <v>679</v>
      </c>
      <c r="E28" s="767" t="s">
        <v>680</v>
      </c>
      <c r="F28" s="766">
        <f ca="1">INDIRECT("'数据-取费表'!q"&amp;$G$1)</f>
        <v>0</v>
      </c>
      <c r="G28" s="1501"/>
      <c r="H28" s="753" t="s">
        <v>1811</v>
      </c>
      <c r="I28" s="754" t="s">
        <v>681</v>
      </c>
      <c r="J28" s="755">
        <f ca="1">IF(J7&lt;&gt;0,ROUND(J27*(1-((1+M30)/(1+M28))^M29)/(M28-M30),0),0)</f>
        <v>0</v>
      </c>
      <c r="K28" s="785" t="s">
        <v>682</v>
      </c>
      <c r="L28" s="756" t="s">
        <v>683</v>
      </c>
      <c r="M28" s="766">
        <f ca="1">INDIRECT("'数据-取费表'!I"&amp;$G$1)</f>
        <v>0</v>
      </c>
    </row>
    <row r="29" spans="1:25" ht="18" customHeight="1">
      <c r="A29" s="775" t="s">
        <v>1823</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1850</v>
      </c>
      <c r="B30" s="756" t="s">
        <v>665</v>
      </c>
      <c r="C30" s="53">
        <f>ROUND(F30/(1+'数据-取费表'!C42),4)</f>
        <v>0</v>
      </c>
      <c r="D30" s="783" t="s">
        <v>687</v>
      </c>
      <c r="E30" s="756" t="s">
        <v>627</v>
      </c>
      <c r="F30" s="781">
        <f>'数据-取费表'!B41</f>
        <v>0</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1851</v>
      </c>
      <c r="B31" s="2363" t="s">
        <v>2774</v>
      </c>
      <c r="C31" s="2366" t="e">
        <f ca="1">ROUND((C21+C22+C25+C28)/(1-F23-C26-C29-C30),0)</f>
        <v>#VALUE!</v>
      </c>
      <c r="D31" s="2367"/>
      <c r="E31" s="2368"/>
      <c r="F31" s="2369"/>
      <c r="G31" s="1502"/>
      <c r="H31" s="794" t="s">
        <v>1840</v>
      </c>
      <c r="I31" s="2693" t="s">
        <v>2775</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t="e">
        <f ca="1">ROUND(C33+C38+C39+C40,0)</f>
        <v>#VALUE!</v>
      </c>
      <c r="D32" s="1709" t="s">
        <v>630</v>
      </c>
      <c r="E32" s="2309"/>
      <c r="F32" s="2313"/>
      <c r="G32" s="1917"/>
      <c r="H32" s="1920"/>
      <c r="I32" s="1921"/>
      <c r="J32" s="1922"/>
      <c r="K32" s="1923"/>
      <c r="L32" s="1924"/>
      <c r="M32" s="1925"/>
    </row>
    <row r="33" spans="1:18" ht="18" customHeight="1">
      <c r="A33" s="775" t="s">
        <v>1844</v>
      </c>
      <c r="B33" s="756" t="s">
        <v>634</v>
      </c>
      <c r="C33" s="2985" t="e">
        <f ca="1">ROUND(IF(AND(项目基本情况!B11="自然人",项目基本情况!B10="北京市"),C8*F33/(1+'数据-取费表'!C42),C34+C35+C36),0)</f>
        <v>#VALUE!</v>
      </c>
      <c r="D33" s="1865" t="s">
        <v>635</v>
      </c>
      <c r="E33" s="1863" t="s">
        <v>668</v>
      </c>
      <c r="F33" s="2984">
        <f ca="1">IF(项目基本情况!B11="企业","——",IF('数据-取费表'!B10="住宅",IF(F8*F9*F10/12/(1+'数据-取费表'!F30)&gt;100000,4%,2.5%),IF(F8*F9*F10/12/(1+'数据-取费表'!F30)&gt;100000,12%,7%)))</f>
        <v>7.0000000000000007E-2</v>
      </c>
      <c r="G33" s="1917"/>
      <c r="H33" s="3223" t="s">
        <v>2960</v>
      </c>
      <c r="I33" s="1921"/>
      <c r="J33" s="1922"/>
      <c r="K33" s="1923"/>
      <c r="L33" s="1924"/>
      <c r="M33" s="1925"/>
    </row>
    <row r="34" spans="1:18" ht="18" customHeight="1">
      <c r="A34" s="775" t="s">
        <v>1843</v>
      </c>
      <c r="B34" s="756" t="s">
        <v>638</v>
      </c>
      <c r="C34" s="53">
        <f ca="1">ROUND(C8*F34/(1+'数据-取费表'!C42),1)</f>
        <v>0</v>
      </c>
      <c r="D34" s="1863" t="s">
        <v>639</v>
      </c>
      <c r="E34" s="756" t="s">
        <v>627</v>
      </c>
      <c r="F34" s="781">
        <f>'数据-取费表'!B41</f>
        <v>0</v>
      </c>
      <c r="G34" s="1917"/>
      <c r="H34" s="1926"/>
      <c r="I34" s="1927"/>
      <c r="J34" s="1928"/>
      <c r="K34" s="1929"/>
      <c r="L34" s="1930"/>
      <c r="M34" s="1931"/>
    </row>
    <row r="35" spans="1:18" ht="18" customHeight="1">
      <c r="A35" s="775" t="s">
        <v>1823</v>
      </c>
      <c r="B35" s="756" t="s">
        <v>642</v>
      </c>
      <c r="C35" s="53" t="e">
        <f ca="1">IF(D35="按租金收入计税",ROUND(C8*F35/(1+'数据-取费表'!C42),1),IF(D35="按房产原值计税",ROUND(C31*F35*0.7,1),INDIRECT("'数据-取费表'!Aj"&amp;$G$1)))</f>
        <v>#VALUE!</v>
      </c>
      <c r="D35" s="782" t="s">
        <v>1654</v>
      </c>
      <c r="E35" s="756" t="s">
        <v>627</v>
      </c>
      <c r="F35" s="781">
        <f>IF(D35="按租金收入计税",'数据-取费表'!B51,'数据-取费表'!B50)</f>
        <v>1.2E-2</v>
      </c>
      <c r="G35" s="1917"/>
      <c r="H35" s="1932"/>
      <c r="I35" s="1932"/>
      <c r="J35" s="1932"/>
      <c r="K35" s="1933"/>
      <c r="L35" s="1932"/>
      <c r="M35" s="1932"/>
    </row>
    <row r="36" spans="1:18" ht="18" customHeight="1">
      <c r="A36" s="784" t="s">
        <v>1848</v>
      </c>
      <c r="B36" s="339" t="s">
        <v>646</v>
      </c>
      <c r="C36" s="54">
        <f ca="1">ROUND(F36*F37/10000,1)</f>
        <v>0</v>
      </c>
      <c r="D36" s="785" t="s">
        <v>647</v>
      </c>
      <c r="E36" s="756" t="s">
        <v>648</v>
      </c>
      <c r="F36" s="614">
        <f>'数据-取费表'!B52</f>
        <v>0</v>
      </c>
      <c r="G36" s="1917"/>
      <c r="H36" s="1920"/>
      <c r="I36" s="3714"/>
      <c r="J36" s="1934"/>
      <c r="K36" s="1935"/>
      <c r="L36" s="1934"/>
      <c r="M36" s="1934"/>
    </row>
    <row r="37" spans="1:18" ht="18" customHeight="1">
      <c r="A37" s="786"/>
      <c r="B37" s="765"/>
      <c r="C37" s="69"/>
      <c r="D37" s="787"/>
      <c r="E37" s="756" t="s">
        <v>652</v>
      </c>
      <c r="F37" s="757">
        <f ca="1">INDIRECT("'数据-取费表'!r"&amp;$G$1)</f>
        <v>0</v>
      </c>
      <c r="G37" s="1917"/>
      <c r="H37" s="1920"/>
      <c r="I37" s="3714"/>
      <c r="J37" s="1932"/>
      <c r="K37" s="1933"/>
      <c r="L37" s="1932"/>
      <c r="M37" s="1932"/>
    </row>
    <row r="38" spans="1:18" ht="18" customHeight="1">
      <c r="A38" s="775" t="s">
        <v>1845</v>
      </c>
      <c r="B38" s="756" t="s">
        <v>654</v>
      </c>
      <c r="C38" s="53" t="e">
        <f ca="1">ROUND(C31*F38,1)</f>
        <v>#VALUE!</v>
      </c>
      <c r="D38" s="1863" t="s">
        <v>669</v>
      </c>
      <c r="E38" s="756" t="s">
        <v>627</v>
      </c>
      <c r="F38" s="788">
        <f ca="1">INDIRECT("'数据-取费表'!Ak"&amp;$G$1)</f>
        <v>0</v>
      </c>
      <c r="G38" s="1917"/>
      <c r="H38" s="1932"/>
      <c r="I38" s="2988"/>
      <c r="J38" s="1872"/>
      <c r="K38" s="1936"/>
      <c r="L38" s="1932"/>
      <c r="M38" s="1932"/>
    </row>
    <row r="39" spans="1:18" ht="18" customHeight="1">
      <c r="A39" s="775" t="s">
        <v>1846</v>
      </c>
      <c r="B39" s="756" t="s">
        <v>657</v>
      </c>
      <c r="C39" s="53" t="e">
        <f ca="1">ROUND(C15*F39,1)</f>
        <v>#VALUE!</v>
      </c>
      <c r="D39" s="1863" t="s">
        <v>658</v>
      </c>
      <c r="E39" s="756" t="s">
        <v>627</v>
      </c>
      <c r="F39" s="789">
        <f ca="1">INDIRECT("'数据-取费表'!Al"&amp;$G$1)</f>
        <v>0</v>
      </c>
      <c r="G39" s="1917"/>
      <c r="H39" s="1932"/>
      <c r="I39" s="2988"/>
      <c r="J39" s="1872"/>
      <c r="K39" s="1936"/>
      <c r="L39" s="1932"/>
      <c r="M39" s="1932"/>
    </row>
    <row r="40" spans="1:18" ht="18" customHeight="1" thickBot="1">
      <c r="A40" s="2382" t="s">
        <v>1847</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1844</v>
      </c>
      <c r="B42" s="806" t="s">
        <v>671</v>
      </c>
      <c r="C42" s="800" t="e">
        <f ca="1">C7-C32</f>
        <v>#VALUE!</v>
      </c>
      <c r="D42" s="1865" t="s">
        <v>672</v>
      </c>
      <c r="E42" s="1867"/>
      <c r="F42" s="791"/>
      <c r="G42" s="1917"/>
      <c r="H42" s="1917"/>
      <c r="I42" s="1917"/>
      <c r="J42" s="1917"/>
      <c r="K42" s="1937"/>
      <c r="L42" s="1917"/>
      <c r="M42" s="1917"/>
    </row>
    <row r="43" spans="1:18" ht="18" customHeight="1">
      <c r="A43" s="775" t="s">
        <v>1845</v>
      </c>
      <c r="B43" s="806" t="s">
        <v>689</v>
      </c>
      <c r="C43" s="807" t="e">
        <f ca="1">ROUND(C15*F43,0)</f>
        <v>#VALUE!</v>
      </c>
      <c r="D43" s="1283" t="s">
        <v>690</v>
      </c>
      <c r="E43" s="2761" t="s">
        <v>2896</v>
      </c>
      <c r="F43" s="2762">
        <f ca="1">INDIRECT("'数据-取费表'!j"&amp;$G$1)</f>
        <v>0</v>
      </c>
      <c r="G43" s="1917"/>
      <c r="H43" s="1917"/>
      <c r="I43" s="1917"/>
      <c r="J43" s="1917"/>
      <c r="K43" s="1937"/>
      <c r="L43" s="1917"/>
      <c r="M43" s="1917"/>
    </row>
    <row r="44" spans="1:18" ht="18" customHeight="1">
      <c r="A44" s="775" t="s">
        <v>1846</v>
      </c>
      <c r="B44" s="806" t="s">
        <v>691</v>
      </c>
      <c r="C44" s="1284" t="e">
        <f ca="1">C42-C43</f>
        <v>#VALUE!</v>
      </c>
      <c r="D44" s="456" t="s">
        <v>692</v>
      </c>
      <c r="E44" s="457"/>
      <c r="F44" s="458"/>
      <c r="G44" s="1917"/>
      <c r="H44" s="1917"/>
      <c r="I44" s="1917"/>
      <c r="J44" s="1917"/>
      <c r="K44" s="1937"/>
      <c r="L44" s="1917"/>
      <c r="M44" s="1917"/>
    </row>
    <row r="45" spans="1:18" ht="18" customHeight="1">
      <c r="A45" s="775" t="s">
        <v>1847</v>
      </c>
      <c r="B45" s="1283" t="s">
        <v>693</v>
      </c>
      <c r="C45" s="2717" t="e">
        <f ca="1">ROUND(-PV(F45,F46,C44,0),0)</f>
        <v>#VALUE!</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2899</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2304</v>
      </c>
      <c r="J47" s="2205"/>
      <c r="K47" s="2206"/>
      <c r="L47" s="2777" t="str">
        <f ca="1">IF(M48="住宅",0,IF(L49&gt;J52,L61,J61))</f>
        <v>0</v>
      </c>
      <c r="O47" s="2220" t="s">
        <v>2371</v>
      </c>
      <c r="P47" s="1501"/>
      <c r="Q47" s="1509"/>
      <c r="R47" s="1501"/>
    </row>
    <row r="48" spans="1:18" s="1914" customFormat="1" ht="18" customHeight="1" thickBot="1">
      <c r="A48" s="1938"/>
      <c r="C48" s="1941"/>
      <c r="D48" s="1942"/>
      <c r="E48" s="1942"/>
      <c r="F48" s="1943"/>
      <c r="G48" s="1944"/>
      <c r="I48" s="2768" t="s">
        <v>2305</v>
      </c>
      <c r="J48" s="2207"/>
      <c r="K48" s="2774" t="s">
        <v>2310</v>
      </c>
      <c r="L48" s="2778">
        <f ca="1">INDIRECT("'数据-取费表'!d"&amp;$G$1)</f>
        <v>0</v>
      </c>
      <c r="M48" s="2760" t="str">
        <f>IF(ISNUMBER(FIND("住宅",C1)),"住宅","非住宅")</f>
        <v>非住宅</v>
      </c>
      <c r="O48" s="2221" t="s">
        <v>2336</v>
      </c>
      <c r="P48" s="2222" t="s">
        <v>2337</v>
      </c>
      <c r="Q48" s="2223" t="s">
        <v>2338</v>
      </c>
      <c r="R48" s="2222" t="s">
        <v>2339</v>
      </c>
    </row>
    <row r="49" spans="1:18" s="1914" customFormat="1" ht="18" customHeight="1" thickBot="1">
      <c r="A49" s="1938"/>
      <c r="D49" s="1945"/>
      <c r="E49" s="1946"/>
      <c r="F49" s="1943"/>
      <c r="G49" s="1944"/>
      <c r="H49" s="1947"/>
      <c r="I49" s="2765" t="s">
        <v>2306</v>
      </c>
      <c r="J49" s="2208"/>
      <c r="K49" s="2775" t="s">
        <v>2312</v>
      </c>
      <c r="L49" s="1795">
        <f ca="1">INDIRECT("'数据-取费表'!f"&amp;$G$1)</f>
        <v>0</v>
      </c>
      <c r="O49" s="2224" t="s">
        <v>2340</v>
      </c>
      <c r="P49" s="2225" t="s">
        <v>2366</v>
      </c>
      <c r="Q49" s="2226">
        <f ca="1">C41+J31</f>
        <v>0</v>
      </c>
      <c r="R49" s="2225" t="s">
        <v>2341</v>
      </c>
    </row>
    <row r="50" spans="1:18" s="1914" customFormat="1" ht="18" customHeight="1" thickBot="1">
      <c r="A50" s="1938"/>
      <c r="D50" s="1948"/>
      <c r="E50" s="1948"/>
      <c r="F50" s="1942"/>
      <c r="G50" s="1949"/>
      <c r="H50" s="1947"/>
      <c r="I50" s="2765" t="s">
        <v>2307</v>
      </c>
      <c r="J50" s="2209"/>
      <c r="K50" s="2776" t="s">
        <v>2313</v>
      </c>
      <c r="L50" s="2210"/>
      <c r="O50" s="2224" t="s">
        <v>2342</v>
      </c>
      <c r="P50" s="2225" t="s">
        <v>2367</v>
      </c>
      <c r="Q50" s="2226" t="str">
        <f ca="1">J61</f>
        <v>0</v>
      </c>
      <c r="R50" s="2225" t="s">
        <v>2343</v>
      </c>
    </row>
    <row r="51" spans="1:18" s="1914" customFormat="1" ht="18" customHeight="1" thickBot="1">
      <c r="A51" s="1950"/>
      <c r="D51" s="1948"/>
      <c r="E51" s="1948"/>
      <c r="F51" s="1939"/>
      <c r="H51" s="1947"/>
      <c r="I51" s="2765" t="s">
        <v>2308</v>
      </c>
      <c r="J51" s="2772">
        <f>SUMPRODUCT((I64:I66=J48)*(J63:L63=J49)*(J64:L66))</f>
        <v>0</v>
      </c>
      <c r="K51" s="2776" t="s">
        <v>2314</v>
      </c>
      <c r="L51" s="2210"/>
      <c r="O51" s="2227" t="s">
        <v>2344</v>
      </c>
      <c r="P51" s="2225" t="s">
        <v>2368</v>
      </c>
      <c r="Q51" s="2226" t="e">
        <f ca="1">C31</f>
        <v>#VALUE!</v>
      </c>
      <c r="R51" s="2225" t="s">
        <v>2341</v>
      </c>
    </row>
    <row r="52" spans="1:18" s="1914" customFormat="1" ht="18" customHeight="1" thickBot="1">
      <c r="A52" s="1950"/>
      <c r="F52" s="1939"/>
      <c r="I52" s="2769" t="s">
        <v>2309</v>
      </c>
      <c r="J52" s="2773">
        <f>IF(J50="",J51,J50+J51-YEAR('数据-取费表'!B3))</f>
        <v>0</v>
      </c>
      <c r="K52" s="2765" t="s">
        <v>2315</v>
      </c>
      <c r="L52" s="2779" t="e">
        <f ca="1">C45</f>
        <v>#VALUE!</v>
      </c>
      <c r="O52" s="2227" t="s">
        <v>2345</v>
      </c>
      <c r="P52" s="2225" t="s">
        <v>2346</v>
      </c>
      <c r="Q52" s="2228" t="e">
        <f ca="1">J59</f>
        <v>#VALUE!</v>
      </c>
      <c r="R52" s="2229"/>
    </row>
    <row r="53" spans="1:18" s="1914" customFormat="1" ht="18" customHeight="1" thickBot="1">
      <c r="A53" s="1950"/>
      <c r="F53" s="1939"/>
      <c r="I53" s="2770" t="s">
        <v>2382</v>
      </c>
      <c r="J53" s="2211"/>
      <c r="K53" s="2770" t="s">
        <v>2381</v>
      </c>
      <c r="L53" s="2211"/>
      <c r="O53" s="2227" t="s">
        <v>2347</v>
      </c>
      <c r="P53" s="2225" t="s">
        <v>2348</v>
      </c>
      <c r="Q53" s="2228">
        <f>J53</f>
        <v>0</v>
      </c>
      <c r="R53" s="2229"/>
    </row>
    <row r="54" spans="1:18" s="1914" customFormat="1" ht="29.25" thickBot="1">
      <c r="A54" s="1950"/>
      <c r="I54" s="2771" t="s">
        <v>2910</v>
      </c>
      <c r="J54" s="2824">
        <f ca="1">IF(M48="住宅",MAX(J52,L49-'数据-取费表'!B20),MIN(J52,L49-'数据-取费表'!B20))</f>
        <v>0</v>
      </c>
      <c r="K54" s="3719"/>
      <c r="L54" s="3720"/>
      <c r="O54" s="2227" t="s">
        <v>2349</v>
      </c>
      <c r="P54" s="2225" t="s">
        <v>2350</v>
      </c>
      <c r="Q54" s="2226">
        <f ca="1">J54</f>
        <v>0</v>
      </c>
      <c r="R54" s="2225" t="s">
        <v>2351</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2352</v>
      </c>
      <c r="P55" s="2225" t="s">
        <v>2369</v>
      </c>
      <c r="Q55" s="2226">
        <f ca="1">Q49+Q50</f>
        <v>0</v>
      </c>
      <c r="R55" s="2229" t="s">
        <v>2353</v>
      </c>
    </row>
    <row r="56" spans="1:18" s="1914" customFormat="1" ht="16.5" thickBot="1">
      <c r="A56" s="1950"/>
      <c r="B56" s="1951"/>
      <c r="C56" s="1951"/>
      <c r="I56" s="2782" t="s">
        <v>2316</v>
      </c>
      <c r="J56" s="2754" t="e">
        <f ca="1">ROUND(IF(J48="钢混",J58/J51,1-(1-2%)*(J51-J58)/J51),3)</f>
        <v>#VALUE!</v>
      </c>
      <c r="K56" s="2783" t="s">
        <v>2317</v>
      </c>
      <c r="L56" s="2212"/>
      <c r="O56" s="2230" t="s">
        <v>2372</v>
      </c>
      <c r="P56" s="1501"/>
      <c r="Q56" s="1509"/>
      <c r="R56" s="1501"/>
    </row>
    <row r="57" spans="1:18" s="1914" customFormat="1" ht="43.5" thickBot="1">
      <c r="A57" s="1950"/>
      <c r="B57" s="1951"/>
      <c r="C57" s="1951"/>
      <c r="I57" s="2784" t="s">
        <v>2318</v>
      </c>
      <c r="J57" s="2794" t="s">
        <v>1652</v>
      </c>
      <c r="K57" s="2765" t="s">
        <v>2323</v>
      </c>
      <c r="L57" s="1795">
        <f ca="1">IF(L49&lt;J52,"——",L49-J52)</f>
        <v>0</v>
      </c>
      <c r="O57" s="2221" t="s">
        <v>2336</v>
      </c>
      <c r="P57" s="2222" t="s">
        <v>2337</v>
      </c>
      <c r="Q57" s="2223" t="s">
        <v>2338</v>
      </c>
      <c r="R57" s="2222" t="s">
        <v>2339</v>
      </c>
    </row>
    <row r="58" spans="1:18" s="1914" customFormat="1" ht="29.25" thickBot="1">
      <c r="A58" s="1950"/>
      <c r="B58" s="1951"/>
      <c r="C58" s="1951"/>
      <c r="I58" s="2785" t="s">
        <v>2319</v>
      </c>
      <c r="J58" s="2786" t="str">
        <f ca="1">IF(OR(M48="住宅",J52&lt;L49,J57="是"),"——",J52-L49)</f>
        <v>——</v>
      </c>
      <c r="K58" s="2765" t="s">
        <v>2324</v>
      </c>
      <c r="L58" s="1795" t="e">
        <f ca="1">IF(L49&lt;J52,"——",IF(L56="比较法",L50,IF(L56="基准地价",L51,L52)))</f>
        <v>#VALUE!</v>
      </c>
      <c r="O58" s="2224" t="s">
        <v>2340</v>
      </c>
      <c r="P58" s="2225" t="s">
        <v>2366</v>
      </c>
      <c r="Q58" s="2226">
        <f ca="1">C41+J31</f>
        <v>0</v>
      </c>
      <c r="R58" s="2225" t="s">
        <v>2341</v>
      </c>
    </row>
    <row r="59" spans="1:18" s="1914" customFormat="1" ht="29.25" thickBot="1">
      <c r="A59" s="1950"/>
      <c r="B59" s="1951"/>
      <c r="C59" s="1951"/>
      <c r="I59" s="2785" t="s">
        <v>2320</v>
      </c>
      <c r="J59" s="2755" t="e">
        <f ca="1">IF(J56&lt;0.4,0.4,J56)</f>
        <v>#VALUE!</v>
      </c>
      <c r="K59" s="2765" t="s">
        <v>2325</v>
      </c>
      <c r="L59" s="1795">
        <f ca="1">IF(ISERROR(POWER(1+L53,L48-L49)*(POWER(1+L53,L49)-1)/(POWER(1+L53,L48)-1)),0,POWER(1+L53,L48-L49)*(POWER(1+L53,L49)-1)/(POWER(1+L53,L48)-1))</f>
        <v>0</v>
      </c>
      <c r="O59" s="2224" t="s">
        <v>2342</v>
      </c>
      <c r="P59" s="2225" t="s">
        <v>2373</v>
      </c>
      <c r="Q59" s="2226" t="e">
        <f ca="1">L61</f>
        <v>#VALUE!</v>
      </c>
      <c r="R59" s="2229" t="s">
        <v>2375</v>
      </c>
    </row>
    <row r="60" spans="1:18" s="1914" customFormat="1" ht="29.25" thickBot="1">
      <c r="A60" s="1950"/>
      <c r="B60" s="1951"/>
      <c r="C60" s="1951"/>
      <c r="I60" s="2785" t="s">
        <v>2321</v>
      </c>
      <c r="J60" s="2786" t="str">
        <f ca="1">IF(OR(M48="住宅",J52&lt;L49,J57="是"),"——",ROUND(C30*J59,0))</f>
        <v>——</v>
      </c>
      <c r="K60" s="2765" t="s">
        <v>2326</v>
      </c>
      <c r="L60" s="1795">
        <f ca="1">IF(ISERROR(POWER(1+L53,L48-J52)*(POWER(1+L53,J52)-1)/(POWER(1+L53,L48)-1)),0,POWER(1+L53,L48-J52)*(POWER(1+L53,J52)-1)/(POWER(1+L53,L48)-1))</f>
        <v>0</v>
      </c>
      <c r="O60" s="2227" t="s">
        <v>2344</v>
      </c>
      <c r="P60" s="2225" t="s">
        <v>2374</v>
      </c>
      <c r="Q60" s="2226">
        <f>IF(L56="比较法",L50,IF(L56="基准地价",L51,0))</f>
        <v>0</v>
      </c>
      <c r="R60" s="2225" t="s">
        <v>2341</v>
      </c>
    </row>
    <row r="61" spans="1:18" s="1914" customFormat="1" ht="15.75" thickBot="1">
      <c r="A61" s="1950"/>
      <c r="B61" s="1951"/>
      <c r="C61" s="1951"/>
      <c r="I61" s="2787" t="s">
        <v>2322</v>
      </c>
      <c r="J61" s="2788" t="str">
        <f ca="1">IF(OR(M48="住宅",J52&lt;L49,J57="是"),"0",ROUND(J60/(1+J53)^J54,0))</f>
        <v>0</v>
      </c>
      <c r="K61" s="2789" t="s">
        <v>2327</v>
      </c>
      <c r="L61" s="2788" t="e">
        <f ca="1">IF(OR(M48="住宅",L49&lt;J52),0,ROUND(L58*(L59/L60-1),0))</f>
        <v>#VALUE!</v>
      </c>
      <c r="O61" s="2227" t="s">
        <v>2345</v>
      </c>
      <c r="P61" s="2225" t="s">
        <v>2354</v>
      </c>
      <c r="Q61" s="2228">
        <f>L53</f>
        <v>0</v>
      </c>
      <c r="R61" s="2229"/>
    </row>
    <row r="62" spans="1:18" s="1914" customFormat="1" ht="20.25" thickBot="1">
      <c r="A62" s="1950"/>
      <c r="B62" s="1951"/>
      <c r="C62" s="1951"/>
      <c r="K62" s="1940"/>
      <c r="O62" s="2227" t="s">
        <v>2347</v>
      </c>
      <c r="P62" s="2225" t="s">
        <v>2355</v>
      </c>
      <c r="Q62" s="2226">
        <f ca="1">L59</f>
        <v>0</v>
      </c>
      <c r="R62" s="2229" t="s">
        <v>2356</v>
      </c>
    </row>
    <row r="63" spans="1:18" s="1914" customFormat="1" ht="20.25" thickBot="1">
      <c r="A63" s="1950"/>
      <c r="B63" s="1951"/>
      <c r="C63" s="1951"/>
      <c r="I63" s="2790" t="s">
        <v>2328</v>
      </c>
      <c r="J63" s="2791" t="s">
        <v>2329</v>
      </c>
      <c r="K63" s="2791" t="s">
        <v>2330</v>
      </c>
      <c r="L63" s="2791" t="s">
        <v>2311</v>
      </c>
      <c r="M63" s="2792" t="s">
        <v>2879</v>
      </c>
      <c r="O63" s="2227" t="s">
        <v>2349</v>
      </c>
      <c r="P63" s="2225" t="s">
        <v>2357</v>
      </c>
      <c r="Q63" s="2226">
        <f ca="1">L60</f>
        <v>0</v>
      </c>
      <c r="R63" s="2229" t="s">
        <v>2358</v>
      </c>
    </row>
    <row r="64" spans="1:18" s="1914" customFormat="1" ht="15.75" thickBot="1">
      <c r="A64" s="1950"/>
      <c r="B64" s="1951"/>
      <c r="C64" s="1951"/>
      <c r="I64" s="2790" t="s">
        <v>2331</v>
      </c>
      <c r="J64" s="2791">
        <v>70</v>
      </c>
      <c r="K64" s="2791">
        <v>50</v>
      </c>
      <c r="L64" s="2791">
        <v>80</v>
      </c>
      <c r="M64" s="2793">
        <v>0.02</v>
      </c>
      <c r="O64" s="2224" t="s">
        <v>2352</v>
      </c>
      <c r="P64" s="2225" t="s">
        <v>2369</v>
      </c>
      <c r="Q64" s="2226" t="e">
        <f ca="1">Q58+Q59</f>
        <v>#VALUE!</v>
      </c>
      <c r="R64" s="2229" t="s">
        <v>2353</v>
      </c>
    </row>
    <row r="65" spans="1:18" s="1914" customFormat="1" ht="16.5" thickBot="1">
      <c r="A65" s="1950"/>
      <c r="B65" s="1951"/>
      <c r="C65" s="1951"/>
      <c r="I65" s="2790" t="s">
        <v>2332</v>
      </c>
      <c r="J65" s="2791">
        <v>50</v>
      </c>
      <c r="K65" s="2791">
        <v>35</v>
      </c>
      <c r="L65" s="2791">
        <v>60</v>
      </c>
      <c r="M65" s="817">
        <v>0</v>
      </c>
      <c r="O65" s="2230" t="s">
        <v>2376</v>
      </c>
      <c r="P65" s="1501"/>
      <c r="Q65" s="1509"/>
      <c r="R65" s="1501"/>
    </row>
    <row r="66" spans="1:18" s="1914" customFormat="1" ht="15.75" thickBot="1">
      <c r="A66" s="1950"/>
      <c r="B66" s="1951"/>
      <c r="C66" s="1951"/>
      <c r="I66" s="2790" t="s">
        <v>2333</v>
      </c>
      <c r="J66" s="2791">
        <v>40</v>
      </c>
      <c r="K66" s="2791">
        <v>30</v>
      </c>
      <c r="L66" s="2791">
        <v>50</v>
      </c>
      <c r="M66" s="2793">
        <v>0.02</v>
      </c>
      <c r="O66" s="2221" t="s">
        <v>2336</v>
      </c>
      <c r="P66" s="2222" t="s">
        <v>2337</v>
      </c>
      <c r="Q66" s="2223" t="s">
        <v>2338</v>
      </c>
      <c r="R66" s="2222" t="s">
        <v>2339</v>
      </c>
    </row>
    <row r="67" spans="1:18" s="1914" customFormat="1" ht="15.75" thickBot="1">
      <c r="A67" s="1950"/>
      <c r="B67" s="1951"/>
      <c r="C67" s="1951"/>
      <c r="K67" s="1940"/>
      <c r="O67" s="2224" t="s">
        <v>2340</v>
      </c>
      <c r="P67" s="2225" t="s">
        <v>2366</v>
      </c>
      <c r="Q67" s="2226">
        <f ca="1">C41+J31</f>
        <v>0</v>
      </c>
      <c r="R67" s="2225" t="s">
        <v>2341</v>
      </c>
    </row>
    <row r="68" spans="1:18" s="1914" customFormat="1" ht="20.25" thickBot="1">
      <c r="A68" s="1950"/>
      <c r="B68" s="1951"/>
      <c r="C68" s="1951"/>
      <c r="K68" s="1940"/>
      <c r="O68" s="2224" t="s">
        <v>2342</v>
      </c>
      <c r="P68" s="2225" t="s">
        <v>2373</v>
      </c>
      <c r="Q68" s="2226" t="e">
        <f ca="1">L61</f>
        <v>#VALUE!</v>
      </c>
      <c r="R68" s="2229" t="s">
        <v>2375</v>
      </c>
    </row>
    <row r="69" spans="1:18" s="1914" customFormat="1" ht="21.75" thickBot="1">
      <c r="A69" s="1950"/>
      <c r="B69" s="1951"/>
      <c r="C69" s="1951"/>
      <c r="K69" s="1940"/>
      <c r="O69" s="2227" t="s">
        <v>2344</v>
      </c>
      <c r="P69" s="2225" t="s">
        <v>2374</v>
      </c>
      <c r="Q69" s="2231" t="e">
        <f ca="1">L52</f>
        <v>#VALUE!</v>
      </c>
      <c r="R69" s="2232" t="s">
        <v>2377</v>
      </c>
    </row>
    <row r="70" spans="1:18" s="1914" customFormat="1" ht="20.25" thickBot="1">
      <c r="A70" s="1950"/>
      <c r="B70" s="1951"/>
      <c r="C70" s="1951"/>
      <c r="K70" s="1940"/>
      <c r="O70" s="2227" t="s">
        <v>2345</v>
      </c>
      <c r="P70" s="2233" t="s">
        <v>2359</v>
      </c>
      <c r="Q70" s="2226" t="e">
        <f ca="1">ROUND(Q71-Q72*Q73,0)</f>
        <v>#VALUE!</v>
      </c>
      <c r="R70" s="2229"/>
    </row>
    <row r="71" spans="1:18" s="1914" customFormat="1" ht="15.75" thickBot="1">
      <c r="A71" s="1950"/>
      <c r="B71" s="1951"/>
      <c r="C71" s="1951"/>
      <c r="K71" s="1940"/>
      <c r="O71" s="2227" t="s">
        <v>2360</v>
      </c>
      <c r="P71" s="2233" t="s">
        <v>2361</v>
      </c>
      <c r="Q71" s="2226" t="e">
        <f ca="1">C42</f>
        <v>#VALUE!</v>
      </c>
      <c r="R71" s="2225" t="s">
        <v>2341</v>
      </c>
    </row>
    <row r="72" spans="1:18" s="1914" customFormat="1" ht="15.75" thickBot="1">
      <c r="A72" s="1950"/>
      <c r="B72" s="1951"/>
      <c r="C72" s="1951"/>
      <c r="K72" s="1940"/>
      <c r="O72" s="2227" t="s">
        <v>2362</v>
      </c>
      <c r="P72" s="2233" t="s">
        <v>2363</v>
      </c>
      <c r="Q72" s="2226" t="e">
        <f ca="1">C15</f>
        <v>#VALUE!</v>
      </c>
      <c r="R72" s="2225" t="s">
        <v>2341</v>
      </c>
    </row>
    <row r="73" spans="1:18" s="1914" customFormat="1" ht="15.75" thickBot="1">
      <c r="A73" s="1950"/>
      <c r="B73" s="1951"/>
      <c r="C73" s="1951"/>
      <c r="K73" s="1940"/>
      <c r="O73" s="2227" t="s">
        <v>2364</v>
      </c>
      <c r="P73" s="2233" t="s">
        <v>2365</v>
      </c>
      <c r="Q73" s="2228">
        <f ca="1">F43</f>
        <v>0</v>
      </c>
      <c r="R73" s="2229"/>
    </row>
    <row r="74" spans="1:18" s="1914" customFormat="1" ht="15.75" thickBot="1">
      <c r="A74" s="1950"/>
      <c r="B74" s="1951"/>
      <c r="C74" s="1951"/>
      <c r="K74" s="1940"/>
      <c r="O74" s="2227" t="s">
        <v>2347</v>
      </c>
      <c r="P74" s="2225" t="s">
        <v>2354</v>
      </c>
      <c r="Q74" s="2228">
        <f>L53</f>
        <v>0</v>
      </c>
      <c r="R74" s="2229"/>
    </row>
    <row r="75" spans="1:18" s="1914" customFormat="1" ht="20.25" thickBot="1">
      <c r="A75" s="1950"/>
      <c r="B75" s="1951"/>
      <c r="C75" s="1951"/>
      <c r="K75" s="1940"/>
      <c r="O75" s="2227" t="s">
        <v>2349</v>
      </c>
      <c r="P75" s="2225" t="s">
        <v>2355</v>
      </c>
      <c r="Q75" s="2226">
        <f ca="1">L59</f>
        <v>0</v>
      </c>
      <c r="R75" s="2229" t="s">
        <v>2356</v>
      </c>
    </row>
    <row r="76" spans="1:18" s="1914" customFormat="1" ht="20.25" thickBot="1">
      <c r="A76" s="1950"/>
      <c r="B76" s="1951"/>
      <c r="C76" s="1951"/>
      <c r="K76" s="1940"/>
      <c r="O76" s="2227" t="s">
        <v>2378</v>
      </c>
      <c r="P76" s="2225" t="s">
        <v>2357</v>
      </c>
      <c r="Q76" s="2226">
        <f ca="1">L60</f>
        <v>0</v>
      </c>
      <c r="R76" s="2229" t="s">
        <v>2358</v>
      </c>
    </row>
    <row r="77" spans="1:18" s="1914" customFormat="1" ht="15.75" thickBot="1">
      <c r="A77" s="1950"/>
      <c r="B77" s="1951"/>
      <c r="C77" s="1951"/>
      <c r="K77" s="1940"/>
      <c r="O77" s="2224" t="s">
        <v>2352</v>
      </c>
      <c r="P77" s="2225" t="s">
        <v>2369</v>
      </c>
      <c r="Q77" s="2226" t="e">
        <f ca="1">Q67+Q68</f>
        <v>#VALUE!</v>
      </c>
      <c r="R77" s="2229" t="s">
        <v>2353</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6" priority="6">
      <formula>$F$12="自定义"</formula>
    </cfRule>
  </conditionalFormatting>
  <conditionalFormatting sqref="J13">
    <cfRule type="expression" dxfId="135" priority="5">
      <formula>$M$10="自定义"</formula>
    </cfRule>
  </conditionalFormatting>
  <conditionalFormatting sqref="K56">
    <cfRule type="expression" dxfId="134" priority="3">
      <formula>$L$48&gt;$J$51</formula>
    </cfRule>
  </conditionalFormatting>
  <conditionalFormatting sqref="I56">
    <cfRule type="expression" dxfId="133" priority="4">
      <formula>$J$51&gt;$L$48</formula>
    </cfRule>
  </conditionalFormatting>
  <conditionalFormatting sqref="I61">
    <cfRule type="expression" dxfId="132" priority="2">
      <formula>$J$51&gt;$L$48</formula>
    </cfRule>
  </conditionalFormatting>
  <conditionalFormatting sqref="K61">
    <cfRule type="expression" dxfId="13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1699</v>
      </c>
      <c r="B1" s="712"/>
      <c r="C1" s="745"/>
      <c r="D1" s="2764" t="s">
        <v>927</v>
      </c>
      <c r="E1" s="2213" t="s">
        <v>2335</v>
      </c>
      <c r="F1" s="2214">
        <f ca="1">J53</f>
        <v>0</v>
      </c>
      <c r="G1" s="3224">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1700</v>
      </c>
      <c r="B2" s="747" t="e">
        <f ca="1">C40+J29+L46</f>
        <v>#VALUE!</v>
      </c>
      <c r="C2" s="3229"/>
      <c r="D2" s="3230"/>
      <c r="E2" s="3231"/>
      <c r="F2" s="3231"/>
      <c r="G2" s="3225"/>
      <c r="H2" s="1912"/>
      <c r="I2" s="1912"/>
      <c r="J2" s="1912"/>
      <c r="K2" s="1913"/>
      <c r="L2" s="1912"/>
      <c r="M2" s="1912"/>
    </row>
    <row r="3" spans="1:33" ht="18" customHeight="1" thickBot="1">
      <c r="A3" s="804" t="s">
        <v>1701</v>
      </c>
      <c r="B3" s="805">
        <f ca="1">IF(ISERROR(B2*10000/F43),0,ROUND(B2*10000/F43,0))</f>
        <v>0</v>
      </c>
      <c r="C3" s="3229"/>
      <c r="D3" s="3230"/>
      <c r="E3" s="3231"/>
      <c r="F3" s="3231"/>
      <c r="G3" s="3225"/>
      <c r="H3" s="748" t="s">
        <v>673</v>
      </c>
      <c r="I3" s="1290"/>
      <c r="J3" s="1290"/>
      <c r="K3" s="1500"/>
      <c r="L3" s="1290"/>
      <c r="M3" s="1290"/>
    </row>
    <row r="4" spans="1:33" ht="18" customHeight="1">
      <c r="A4" s="749" t="s">
        <v>1702</v>
      </c>
      <c r="B4" s="750" t="s">
        <v>1703</v>
      </c>
      <c r="C4" s="750" t="s">
        <v>1704</v>
      </c>
      <c r="D4" s="750" t="s">
        <v>611</v>
      </c>
      <c r="E4" s="751" t="s">
        <v>1705</v>
      </c>
      <c r="F4" s="752"/>
      <c r="G4" s="1917"/>
      <c r="H4" s="749" t="s">
        <v>1706</v>
      </c>
      <c r="I4" s="750" t="s">
        <v>1707</v>
      </c>
      <c r="J4" s="750" t="s">
        <v>1708</v>
      </c>
      <c r="K4" s="750" t="s">
        <v>1709</v>
      </c>
      <c r="L4" s="751" t="s">
        <v>1710</v>
      </c>
      <c r="M4" s="752"/>
    </row>
    <row r="5" spans="1:33" ht="18" customHeight="1">
      <c r="A5" s="753">
        <v>1</v>
      </c>
      <c r="B5" s="754" t="s">
        <v>2411</v>
      </c>
      <c r="C5" s="55">
        <f ca="1">C6+C10+C12</f>
        <v>0</v>
      </c>
      <c r="D5" s="2318" t="s">
        <v>2414</v>
      </c>
      <c r="E5" s="2312"/>
      <c r="F5" s="2313"/>
      <c r="G5" s="1917"/>
      <c r="H5" s="753">
        <v>1</v>
      </c>
      <c r="I5" s="754" t="s">
        <v>2411</v>
      </c>
      <c r="J5" s="55">
        <f ca="1">J6+J10+J12</f>
        <v>0</v>
      </c>
      <c r="K5" s="2318" t="s">
        <v>2414</v>
      </c>
      <c r="L5" s="2312"/>
      <c r="M5" s="2313"/>
    </row>
    <row r="6" spans="1:33" ht="18" customHeight="1">
      <c r="A6" s="1718" t="s">
        <v>1798</v>
      </c>
      <c r="B6" s="3715" t="s">
        <v>2416</v>
      </c>
      <c r="C6" s="755">
        <f ca="1">ROUND(F6*F8*F7*(1-F9)/10000,0)</f>
        <v>0</v>
      </c>
      <c r="D6" s="2319" t="s">
        <v>2415</v>
      </c>
      <c r="E6" s="756" t="s">
        <v>1712</v>
      </c>
      <c r="F6" s="757">
        <f ca="1">INDIRECT("'数据-取费表'!u"&amp;$G$1)</f>
        <v>0</v>
      </c>
      <c r="G6" s="1917"/>
      <c r="H6" s="2326" t="s">
        <v>2421</v>
      </c>
      <c r="I6" s="3715" t="s">
        <v>2416</v>
      </c>
      <c r="J6" s="755">
        <f ca="1">ROUND(M6*M8*M7*(1-M9)/10000,0)</f>
        <v>0</v>
      </c>
      <c r="K6" s="339" t="s">
        <v>1711</v>
      </c>
      <c r="L6" s="756" t="s">
        <v>1712</v>
      </c>
      <c r="M6" s="757">
        <f ca="1">INDIRECT("'数据-取费表'!z"&amp;$G$1)</f>
        <v>0</v>
      </c>
    </row>
    <row r="7" spans="1:33" ht="18" customHeight="1">
      <c r="A7" s="2322"/>
      <c r="B7" s="3716"/>
      <c r="C7" s="760"/>
      <c r="D7" s="761"/>
      <c r="E7" s="756" t="s">
        <v>1713</v>
      </c>
      <c r="F7" s="757">
        <f ca="1">IF(INDIRECT("'数据-取费表'!ah"&amp;$G$1)="",INDIRECT("'数据-取费表'!k"&amp;$G$1),INDIRECT("'数据-取费表'!ah"&amp;$G$1))</f>
        <v>0</v>
      </c>
      <c r="G7" s="1917"/>
      <c r="H7" s="2311"/>
      <c r="I7" s="3716"/>
      <c r="J7" s="760"/>
      <c r="K7" s="761"/>
      <c r="L7" s="756" t="s">
        <v>1713</v>
      </c>
      <c r="M7" s="757">
        <f ca="1">F7</f>
        <v>0</v>
      </c>
    </row>
    <row r="8" spans="1:33" ht="18" customHeight="1">
      <c r="A8" s="2315"/>
      <c r="B8" s="3717"/>
      <c r="C8" s="760"/>
      <c r="D8" s="761"/>
      <c r="E8" s="756" t="s">
        <v>1714</v>
      </c>
      <c r="F8" s="757">
        <f ca="1">INDIRECT("'数据-取费表'!ai"&amp;$G$1)</f>
        <v>0</v>
      </c>
      <c r="G8" s="1917"/>
      <c r="H8" s="2311"/>
      <c r="I8" s="3717"/>
      <c r="J8" s="760"/>
      <c r="K8" s="761"/>
      <c r="L8" s="756" t="s">
        <v>1714</v>
      </c>
      <c r="M8" s="757">
        <f ca="1">INDIRECT("'数据-取费表'!ai"&amp;$G$1)</f>
        <v>0</v>
      </c>
    </row>
    <row r="9" spans="1:33" ht="18" customHeight="1">
      <c r="A9" s="758"/>
      <c r="B9" s="3718"/>
      <c r="C9" s="760"/>
      <c r="D9" s="761"/>
      <c r="E9" s="756" t="s">
        <v>1715</v>
      </c>
      <c r="F9" s="766">
        <f ca="1">INDIRECT("'数据-取费表'!w"&amp;$G$1)</f>
        <v>0</v>
      </c>
      <c r="G9" s="1917"/>
      <c r="H9" s="2327"/>
      <c r="I9" s="3717"/>
      <c r="J9" s="760"/>
      <c r="K9" s="761"/>
      <c r="L9" s="767" t="s">
        <v>1715</v>
      </c>
      <c r="M9" s="768">
        <f ca="1">INDIRECT("'数据-取费表'!ab"&amp;$G$1)</f>
        <v>0</v>
      </c>
    </row>
    <row r="10" spans="1:33" ht="18" customHeight="1">
      <c r="A10" s="1718" t="s">
        <v>2419</v>
      </c>
      <c r="B10" s="2316" t="s">
        <v>2412</v>
      </c>
      <c r="C10" s="771">
        <f ca="1">ROUND(IF(F10="押一",C6/12*F11,IF(F10="押二",C6/12*2*F11,IF(F10="押三",C6/12*3*F11,C11*F11))),0)</f>
        <v>0</v>
      </c>
      <c r="D10" s="2323" t="s">
        <v>2906</v>
      </c>
      <c r="E10" s="2320" t="s">
        <v>2417</v>
      </c>
      <c r="F10" s="2433"/>
      <c r="G10" s="1917"/>
      <c r="H10" s="2383" t="s">
        <v>2422</v>
      </c>
      <c r="I10" s="2388" t="s">
        <v>2412</v>
      </c>
      <c r="J10" s="755">
        <f ca="1">ROUND(IF(M10="押一",J6/12*M11,IF(M10="押二",J6/12*2*M11,IF(M10="押三",J6/12*3*M11,J11*M11))),0)</f>
        <v>0</v>
      </c>
      <c r="K10" s="2323" t="s">
        <v>2906</v>
      </c>
      <c r="L10" s="2320" t="s">
        <v>2417</v>
      </c>
      <c r="M10" s="2433"/>
    </row>
    <row r="11" spans="1:33" ht="18" customHeight="1">
      <c r="A11" s="762"/>
      <c r="B11" s="2317" t="s">
        <v>2526</v>
      </c>
      <c r="C11" s="2321"/>
      <c r="D11" s="761"/>
      <c r="E11" s="2320" t="s">
        <v>2418</v>
      </c>
      <c r="F11" s="768">
        <f ca="1">'数据-取费表'!B39</f>
        <v>1.4999999999999999E-2</v>
      </c>
      <c r="G11" s="1917"/>
      <c r="H11" s="2384"/>
      <c r="I11" s="2317" t="s">
        <v>2526</v>
      </c>
      <c r="J11" s="2321"/>
      <c r="K11" s="2385"/>
      <c r="L11" s="2320" t="s">
        <v>2418</v>
      </c>
      <c r="M11" s="2314">
        <f ca="1">'数据-取费表'!B39</f>
        <v>1.4999999999999999E-2</v>
      </c>
    </row>
    <row r="12" spans="1:33" ht="18" customHeight="1" thickBot="1">
      <c r="A12" s="2359" t="s">
        <v>2420</v>
      </c>
      <c r="B12" s="2360" t="s">
        <v>2413</v>
      </c>
      <c r="C12" s="2361"/>
      <c r="D12" s="2362"/>
      <c r="E12" s="2363"/>
      <c r="F12" s="2364"/>
      <c r="G12" s="1917"/>
      <c r="H12" s="2373" t="s">
        <v>2423</v>
      </c>
      <c r="I12" s="2386" t="s">
        <v>2413</v>
      </c>
      <c r="J12" s="2387"/>
      <c r="K12" s="2362"/>
      <c r="L12" s="2363"/>
      <c r="M12" s="2376"/>
    </row>
    <row r="13" spans="1:33" ht="18" customHeight="1" thickTop="1">
      <c r="A13" s="1717">
        <v>2</v>
      </c>
      <c r="B13" s="1715" t="s">
        <v>1716</v>
      </c>
      <c r="C13" s="764" t="e">
        <f ca="1">ROUND(C29*F13,0)</f>
        <v>#VALUE!</v>
      </c>
      <c r="D13" s="1722" t="s">
        <v>2261</v>
      </c>
      <c r="E13" s="1722" t="s">
        <v>1718</v>
      </c>
      <c r="F13" s="2358">
        <f ca="1">INDIRECT("'数据-取费表'!y"&amp;$G$1)</f>
        <v>0</v>
      </c>
      <c r="G13" s="1917"/>
      <c r="H13" s="1717">
        <v>2</v>
      </c>
      <c r="I13" s="1715" t="s">
        <v>1716</v>
      </c>
      <c r="J13" s="1707" t="e">
        <f ca="1">ROUND(J14*J15,0)</f>
        <v>#VALUE!</v>
      </c>
      <c r="K13" s="1709" t="s">
        <v>1717</v>
      </c>
      <c r="L13" s="2374"/>
      <c r="M13" s="2375"/>
    </row>
    <row r="14" spans="1:33" ht="18" customHeight="1">
      <c r="A14" s="1550" t="s">
        <v>1852</v>
      </c>
      <c r="B14" s="756" t="s">
        <v>623</v>
      </c>
      <c r="C14" s="776">
        <f ca="1">INDIRECT("'数据-取费表'!m"&amp;$G$1)+INDIRECT("'数据-取费表'!t"&amp;$G$1)</f>
        <v>0</v>
      </c>
      <c r="D14" s="1865" t="s">
        <v>1719</v>
      </c>
      <c r="E14" s="1866"/>
      <c r="F14" s="777"/>
      <c r="G14" s="1917"/>
      <c r="H14" s="1551" t="s">
        <v>1804</v>
      </c>
      <c r="I14" s="2082" t="s">
        <v>2777</v>
      </c>
      <c r="J14" s="53" t="e">
        <f ca="1">C29</f>
        <v>#VALUE!</v>
      </c>
      <c r="K14" s="26"/>
      <c r="L14" s="773"/>
      <c r="M14" s="774"/>
    </row>
    <row r="15" spans="1:33" s="1919" customFormat="1" ht="18" customHeight="1" thickBot="1">
      <c r="A15" s="1550" t="s">
        <v>1853</v>
      </c>
      <c r="B15" s="756" t="s">
        <v>625</v>
      </c>
      <c r="C15" s="53">
        <f ca="1">ROUND(C14*F15,0)</f>
        <v>0</v>
      </c>
      <c r="D15" s="778" t="s">
        <v>1720</v>
      </c>
      <c r="E15" s="778" t="s">
        <v>1721</v>
      </c>
      <c r="F15" s="779">
        <f>'数据-取费表'!B33</f>
        <v>0</v>
      </c>
      <c r="G15" s="3226"/>
      <c r="H15" s="2373" t="s">
        <v>1857</v>
      </c>
      <c r="I15" s="2368" t="s">
        <v>1718</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1854</v>
      </c>
      <c r="B16" s="756" t="s">
        <v>628</v>
      </c>
      <c r="C16" s="53">
        <f ca="1">ROUND(INDIRECT("'数据-取费表'!m"&amp;$G$1)*F16,0)</f>
        <v>0</v>
      </c>
      <c r="D16" s="756" t="s">
        <v>1720</v>
      </c>
      <c r="E16" s="756" t="s">
        <v>1721</v>
      </c>
      <c r="F16" s="781">
        <f ca="1">IF(INDIRECT("'数据-取费表'!c"&amp;$G$1)="住宅",'数据-取费表'!B34,0)</f>
        <v>0</v>
      </c>
      <c r="G16" s="1917"/>
      <c r="H16" s="1717" t="s">
        <v>1722</v>
      </c>
      <c r="I16" s="1715" t="s">
        <v>1723</v>
      </c>
      <c r="J16" s="764" t="e">
        <f ca="1">ROUND(J17+J22+J23+J24,0)</f>
        <v>#VALUE!</v>
      </c>
      <c r="K16" s="1709" t="s">
        <v>1724</v>
      </c>
      <c r="L16" s="2308"/>
      <c r="M16" s="2313"/>
    </row>
    <row r="17" spans="1:33" s="1919" customFormat="1" ht="18" customHeight="1">
      <c r="A17" s="1550" t="s">
        <v>1855</v>
      </c>
      <c r="B17" s="756" t="s">
        <v>631</v>
      </c>
      <c r="C17" s="53">
        <f ca="1">ROUND(F17*(F43+INDIRECT("'数据-取费表'!S"&amp;$G$1))/10000,0)</f>
        <v>0</v>
      </c>
      <c r="D17" s="756" t="s">
        <v>1725</v>
      </c>
      <c r="E17" s="756" t="s">
        <v>1726</v>
      </c>
      <c r="F17" s="56">
        <f>'数据-取费表'!B35</f>
        <v>0</v>
      </c>
      <c r="G17" s="3226"/>
      <c r="H17" s="1551" t="s">
        <v>1804</v>
      </c>
      <c r="I17" s="756" t="s">
        <v>634</v>
      </c>
      <c r="J17" s="2985" t="e">
        <f ca="1">ROUND(IF(AND(项目基本情况!B11="自然人",项目基本情况!B10="北京市"),J6*M17/(1+'数据-取费表'!C42),J18+J19+J20),0)</f>
        <v>#VALUE!</v>
      </c>
      <c r="K17" s="2307" t="s">
        <v>1727</v>
      </c>
      <c r="L17" s="2306" t="s">
        <v>1728</v>
      </c>
      <c r="M17" s="2984">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1856</v>
      </c>
      <c r="B18" s="756" t="s">
        <v>637</v>
      </c>
      <c r="C18" s="53">
        <f ca="1">ROUND(C14*F18,0)</f>
        <v>0</v>
      </c>
      <c r="D18" s="756" t="s">
        <v>1720</v>
      </c>
      <c r="E18" s="756" t="s">
        <v>1721</v>
      </c>
      <c r="F18" s="781">
        <f>'数据-取费表'!B36</f>
        <v>0</v>
      </c>
      <c r="G18" s="3226"/>
      <c r="H18" s="1550" t="s">
        <v>1852</v>
      </c>
      <c r="I18" s="756" t="s">
        <v>1729</v>
      </c>
      <c r="J18" s="53">
        <f ca="1">ROUND(J6*M18/(1+'数据-取费表'!C42),1)</f>
        <v>0</v>
      </c>
      <c r="K18" s="2306" t="s">
        <v>1730</v>
      </c>
      <c r="L18" s="756" t="s">
        <v>1721</v>
      </c>
      <c r="M18" s="781">
        <f>'数据-取费表'!B41</f>
        <v>0</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1804</v>
      </c>
      <c r="B19" s="756" t="s">
        <v>640</v>
      </c>
      <c r="C19" s="53">
        <f ca="1">SUM(C14:C18)</f>
        <v>0</v>
      </c>
      <c r="D19" s="259" t="s">
        <v>1731</v>
      </c>
      <c r="E19" s="1868"/>
      <c r="F19" s="56"/>
      <c r="G19" s="1917"/>
      <c r="H19" s="1550" t="s">
        <v>1853</v>
      </c>
      <c r="I19" s="756" t="s">
        <v>1732</v>
      </c>
      <c r="J19" s="53" t="e">
        <f ca="1">IF(K19="按租金收入计税",ROUND(J6*M19/(1+'数据-取费表'!C42),1),ROUND(C29*F33*0.7,1))</f>
        <v>#VALUE!</v>
      </c>
      <c r="K19" s="782" t="s">
        <v>643</v>
      </c>
      <c r="L19" s="756" t="s">
        <v>1721</v>
      </c>
      <c r="M19" s="781">
        <f>IF(K19="按租金收入计税",'数据-取费表'!B51,'数据-取费表'!B50)</f>
        <v>1.2E-2</v>
      </c>
    </row>
    <row r="20" spans="1:33" s="1919" customFormat="1" ht="18" customHeight="1">
      <c r="A20" s="1551" t="s">
        <v>1857</v>
      </c>
      <c r="B20" s="756" t="s">
        <v>644</v>
      </c>
      <c r="C20" s="53">
        <f ca="1">ROUND(C19*F20,0)</f>
        <v>0</v>
      </c>
      <c r="D20" s="783" t="s">
        <v>1733</v>
      </c>
      <c r="E20" s="756" t="s">
        <v>1721</v>
      </c>
      <c r="F20" s="781">
        <f>'数据-取费表'!B37</f>
        <v>0</v>
      </c>
      <c r="G20" s="3226"/>
      <c r="H20" s="1553" t="s">
        <v>1848</v>
      </c>
      <c r="I20" s="339" t="s">
        <v>1734</v>
      </c>
      <c r="J20" s="54">
        <f ca="1">ROUND(M20*M21/10000,0)</f>
        <v>0</v>
      </c>
      <c r="K20" s="785" t="s">
        <v>1735</v>
      </c>
      <c r="L20" s="756" t="s">
        <v>1736</v>
      </c>
      <c r="M20" s="614">
        <f>'数据-取费表'!B52</f>
        <v>0</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1858</v>
      </c>
      <c r="B21" s="756" t="s">
        <v>1737</v>
      </c>
      <c r="C21" s="53" t="s">
        <v>1738</v>
      </c>
      <c r="D21" s="783" t="s">
        <v>2262</v>
      </c>
      <c r="E21" s="756" t="s">
        <v>1739</v>
      </c>
      <c r="F21" s="781">
        <f>'数据-取费表'!B38</f>
        <v>0</v>
      </c>
      <c r="G21" s="3226"/>
      <c r="H21" s="2328"/>
      <c r="I21" s="765"/>
      <c r="J21" s="69"/>
      <c r="K21" s="787"/>
      <c r="L21" s="756" t="s">
        <v>1740</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1859</v>
      </c>
      <c r="B22" s="756" t="s">
        <v>1741</v>
      </c>
      <c r="C22" s="53"/>
      <c r="D22" s="2392" t="str">
        <f>IF(F23&lt;=1,"单利计息。","复利计息。")&amp;"建造成本、管理费用、销售费用产生的利息。"</f>
        <v>单利计息。建造成本、管理费用、销售费用产生的利息。</v>
      </c>
      <c r="E22" s="1868"/>
      <c r="F22" s="56"/>
      <c r="G22" s="1917"/>
      <c r="H22" s="1551" t="s">
        <v>1857</v>
      </c>
      <c r="I22" s="756" t="s">
        <v>1742</v>
      </c>
      <c r="J22" s="53" t="e">
        <f ca="1">ROUND(J14*M22,0)</f>
        <v>#VALUE!</v>
      </c>
      <c r="K22" s="2306" t="s">
        <v>1743</v>
      </c>
      <c r="L22" s="756" t="s">
        <v>1721</v>
      </c>
      <c r="M22" s="788">
        <f ca="1">INDIRECT("'数据-取费表'!Ak"&amp;$G$1)</f>
        <v>0</v>
      </c>
    </row>
    <row r="23" spans="1:33" s="1919" customFormat="1" ht="18" customHeight="1">
      <c r="A23" s="1550" t="s">
        <v>1805</v>
      </c>
      <c r="B23" s="756" t="s">
        <v>2488</v>
      </c>
      <c r="C23" s="53" t="e">
        <f ca="1">ROUND(IF('数据-取费表'!B22&lt;=1,(C19+C20)*F24*F23/2,(C19+C20)*(POWER((1+F24),F23/2)-1)),0)</f>
        <v>#VALUE!</v>
      </c>
      <c r="D23" s="2391" t="str">
        <f>IF(F23&lt;=1,"(建造成本+管理费用)×利率×(建设周期÷2)","(建造成本+管理费用)×((1+利率)^(建设周期÷2)-1)")</f>
        <v>(建造成本+管理费用)×利率×(建设周期÷2)</v>
      </c>
      <c r="E23" s="756" t="s">
        <v>1744</v>
      </c>
      <c r="F23" s="614">
        <f>'数据-取费表'!B20</f>
        <v>0</v>
      </c>
      <c r="G23" s="3226"/>
      <c r="H23" s="1551" t="s">
        <v>1858</v>
      </c>
      <c r="I23" s="756" t="s">
        <v>657</v>
      </c>
      <c r="J23" s="53" t="e">
        <f ca="1">ROUND(J13*M23,0)</f>
        <v>#VALUE!</v>
      </c>
      <c r="K23" s="2306" t="s">
        <v>1745</v>
      </c>
      <c r="L23" s="756" t="s">
        <v>1721</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1806</v>
      </c>
      <c r="B24" s="756" t="s">
        <v>1746</v>
      </c>
      <c r="C24" s="53" t="e">
        <f ca="1">ROUND(IF('数据-取费表'!B22&lt;=1,F21*F24*F23/2,F21*(POWER((1+F24),F23/2)-1)),4)</f>
        <v>#VALUE!</v>
      </c>
      <c r="D24" s="2391" t="str">
        <f>IF(F23&lt;=1,"销售费用×利率×(建设周期÷2)","销售费用×((1+利率)^(建设周期÷2)-1)")</f>
        <v>销售费用×利率×(建设周期÷2)</v>
      </c>
      <c r="E24" s="756" t="s">
        <v>1747</v>
      </c>
      <c r="F24" s="790" t="e">
        <f ca="1">'数据-取费表'!B40</f>
        <v>#VALUE!</v>
      </c>
      <c r="G24" s="3226"/>
      <c r="H24" s="2373" t="s">
        <v>1859</v>
      </c>
      <c r="I24" s="2368" t="s">
        <v>644</v>
      </c>
      <c r="J24" s="2366">
        <f ca="1">ROUND(J5*M24,0)</f>
        <v>0</v>
      </c>
      <c r="K24" s="2367" t="s">
        <v>1748</v>
      </c>
      <c r="L24" s="2368" t="s">
        <v>1721</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1814</v>
      </c>
      <c r="B25" s="756" t="s">
        <v>662</v>
      </c>
      <c r="C25" s="53"/>
      <c r="D25" s="259" t="s">
        <v>1749</v>
      </c>
      <c r="E25" s="1868"/>
      <c r="F25" s="56"/>
      <c r="G25" s="1917"/>
      <c r="H25" s="1717" t="s">
        <v>1750</v>
      </c>
      <c r="I25" s="2691" t="s">
        <v>2773</v>
      </c>
      <c r="J25" s="764" t="e">
        <f ca="1">J5-J16</f>
        <v>#VALUE!</v>
      </c>
      <c r="K25" s="2370" t="s">
        <v>1751</v>
      </c>
      <c r="L25" s="2371"/>
      <c r="M25" s="2372"/>
    </row>
    <row r="26" spans="1:33" ht="18" customHeight="1">
      <c r="A26" s="1550" t="s">
        <v>1805</v>
      </c>
      <c r="B26" s="756" t="s">
        <v>2393</v>
      </c>
      <c r="C26" s="53">
        <f ca="1">ROUND((C19+C20)*F26,0)</f>
        <v>0</v>
      </c>
      <c r="D26" s="783" t="s">
        <v>1752</v>
      </c>
      <c r="E26" s="767" t="s">
        <v>1753</v>
      </c>
      <c r="F26" s="766">
        <f ca="1">INDIRECT("'数据-取费表'!q"&amp;$G$1)</f>
        <v>0</v>
      </c>
      <c r="G26" s="1917"/>
      <c r="H26" s="2324" t="s">
        <v>1754</v>
      </c>
      <c r="I26" s="2083" t="s">
        <v>2778</v>
      </c>
      <c r="J26" s="755">
        <f ca="1">IF(J5&lt;&gt;0,ROUND(J25*(1-((1+M28)/(1+M26))^M27)/(M26-M28),0),0)</f>
        <v>0</v>
      </c>
      <c r="K26" s="785" t="s">
        <v>1755</v>
      </c>
      <c r="L26" s="756" t="s">
        <v>2380</v>
      </c>
      <c r="M26" s="766">
        <f ca="1">INDIRECT("'数据-取费表'!I"&amp;$G$1)</f>
        <v>0</v>
      </c>
    </row>
    <row r="27" spans="1:33" ht="18" customHeight="1">
      <c r="A27" s="1550" t="s">
        <v>1806</v>
      </c>
      <c r="B27" s="756" t="s">
        <v>664</v>
      </c>
      <c r="C27" s="53">
        <f ca="1">ROUND(F21*F26,4)</f>
        <v>0</v>
      </c>
      <c r="D27" s="783" t="s">
        <v>1756</v>
      </c>
      <c r="E27" s="778"/>
      <c r="F27" s="779"/>
      <c r="G27" s="1917"/>
      <c r="H27" s="2325"/>
      <c r="I27" s="759"/>
      <c r="J27" s="760"/>
      <c r="K27" s="792" t="s">
        <v>1757</v>
      </c>
      <c r="L27" s="756" t="s">
        <v>1758</v>
      </c>
      <c r="M27" s="793">
        <f ca="1">INDIRECT("'数据-取费表'!ag"&amp;$G$1)</f>
        <v>0</v>
      </c>
    </row>
    <row r="28" spans="1:33" s="1919" customFormat="1" ht="18" customHeight="1">
      <c r="A28" s="1552" t="s">
        <v>1815</v>
      </c>
      <c r="B28" s="756" t="s">
        <v>665</v>
      </c>
      <c r="C28" s="53">
        <f>ROUND(F28/(1+'数据-取费表'!C42),4)</f>
        <v>0</v>
      </c>
      <c r="D28" s="783" t="s">
        <v>2263</v>
      </c>
      <c r="E28" s="756" t="s">
        <v>1759</v>
      </c>
      <c r="F28" s="781">
        <f>'数据-取费表'!B41</f>
        <v>0</v>
      </c>
      <c r="G28" s="3226"/>
      <c r="H28" s="1717"/>
      <c r="I28" s="763"/>
      <c r="J28" s="764"/>
      <c r="K28" s="787"/>
      <c r="L28" s="756" t="s">
        <v>1760</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1860</v>
      </c>
      <c r="B29" s="2363" t="s">
        <v>2264</v>
      </c>
      <c r="C29" s="2366" t="e">
        <f ca="1">ROUND((C19+C20+C23+C26)/(1-F21-C24-C27-C28),0)</f>
        <v>#VALUE!</v>
      </c>
      <c r="D29" s="2367"/>
      <c r="E29" s="2368"/>
      <c r="F29" s="2369"/>
      <c r="G29" s="3226"/>
      <c r="H29" s="794" t="s">
        <v>1761</v>
      </c>
      <c r="I29" s="795" t="s">
        <v>1762</v>
      </c>
      <c r="J29" s="796">
        <f ca="1">ROUND(J26/(1+F40)^F41,0)</f>
        <v>0</v>
      </c>
      <c r="K29" s="797" t="s">
        <v>1763</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1861</v>
      </c>
      <c r="B30" s="1715" t="s">
        <v>1764</v>
      </c>
      <c r="C30" s="764" t="e">
        <f ca="1">ROUND(C31+C36+C37+C38,0)</f>
        <v>#VALUE!</v>
      </c>
      <c r="D30" s="1709" t="s">
        <v>1765</v>
      </c>
      <c r="E30" s="2308"/>
      <c r="F30" s="2313"/>
      <c r="G30" s="1917"/>
      <c r="H30" s="1920"/>
      <c r="I30" s="1921"/>
      <c r="J30" s="1922"/>
      <c r="K30" s="1923"/>
      <c r="L30" s="1924"/>
      <c r="M30" s="1925"/>
    </row>
    <row r="31" spans="1:33" ht="18" customHeight="1">
      <c r="A31" s="1551" t="s">
        <v>1804</v>
      </c>
      <c r="B31" s="756" t="s">
        <v>634</v>
      </c>
      <c r="C31" s="2985" t="e">
        <f ca="1">ROUND(IF(AND(项目基本情况!B11="自然人",项目基本情况!B10="北京市"),C6*F31/(1+'数据-取费表'!C42),C32+C33+C34),0)</f>
        <v>#VALUE!</v>
      </c>
      <c r="D31" s="1865" t="s">
        <v>1766</v>
      </c>
      <c r="E31" s="1863" t="s">
        <v>1767</v>
      </c>
      <c r="F31" s="2984">
        <f ca="1">IF(项目基本情况!B11="企业","——",IF('数据-取费表'!B10="住宅",IF(F6*F7*F8/12/(1+'数据-取费表'!F30)&gt;100000,4%,2.5%),IF(F6*F7*F8/12/(1+'数据-取费表'!F30)&gt;100000,12%,7%)))</f>
        <v>7.0000000000000007E-2</v>
      </c>
      <c r="G31" s="1917"/>
      <c r="H31" s="3223" t="s">
        <v>2961</v>
      </c>
      <c r="I31" s="1921"/>
      <c r="J31" s="1922"/>
      <c r="K31" s="1923"/>
      <c r="L31" s="1924"/>
      <c r="M31" s="1925"/>
    </row>
    <row r="32" spans="1:33" ht="18" customHeight="1">
      <c r="A32" s="1550" t="s">
        <v>1805</v>
      </c>
      <c r="B32" s="756" t="s">
        <v>1768</v>
      </c>
      <c r="C32" s="53">
        <f ca="1">ROUND(C6*F32/(1+'数据-取费表'!C42),1)</f>
        <v>0</v>
      </c>
      <c r="D32" s="1863" t="s">
        <v>1769</v>
      </c>
      <c r="E32" s="756" t="s">
        <v>1770</v>
      </c>
      <c r="F32" s="781">
        <f>'数据-取费表'!B41</f>
        <v>0</v>
      </c>
      <c r="G32" s="1917"/>
      <c r="H32" s="1926"/>
      <c r="I32" s="1927"/>
      <c r="J32" s="1928"/>
      <c r="K32" s="1929"/>
      <c r="L32" s="1930"/>
      <c r="M32" s="1931"/>
    </row>
    <row r="33" spans="1:18" ht="18" customHeight="1">
      <c r="A33" s="1550" t="s">
        <v>1806</v>
      </c>
      <c r="B33" s="756" t="s">
        <v>1771</v>
      </c>
      <c r="C33" s="53" t="e">
        <f ca="1">IF(D33="按租金收入计税",ROUND(C6*F33/(1+'数据-取费表'!C42),1),IF(D33="按房产原值计税",ROUND(C29*F33*0.7,1),INDIRECT("'数据-取费表'!Aj"&amp;$G$1)))</f>
        <v>#VALUE!</v>
      </c>
      <c r="D33" s="782" t="s">
        <v>1654</v>
      </c>
      <c r="E33" s="756" t="s">
        <v>1770</v>
      </c>
      <c r="F33" s="781">
        <f>IF(D33="按租金收入计税",'数据-取费表'!B51,'数据-取费表'!B50)</f>
        <v>1.2E-2</v>
      </c>
      <c r="G33" s="1917"/>
      <c r="H33" s="1932"/>
      <c r="I33" s="1932"/>
      <c r="J33" s="1932"/>
      <c r="K33" s="1933"/>
      <c r="L33" s="1932"/>
      <c r="M33" s="1932"/>
    </row>
    <row r="34" spans="1:18" ht="18" customHeight="1">
      <c r="A34" s="1553" t="s">
        <v>1807</v>
      </c>
      <c r="B34" s="339" t="s">
        <v>1772</v>
      </c>
      <c r="C34" s="54">
        <f ca="1">ROUND(F34*F35/10000,1)</f>
        <v>0</v>
      </c>
      <c r="D34" s="785" t="s">
        <v>1773</v>
      </c>
      <c r="E34" s="756" t="s">
        <v>1774</v>
      </c>
      <c r="F34" s="614">
        <f>'数据-取费表'!B52</f>
        <v>0</v>
      </c>
      <c r="G34" s="1917"/>
      <c r="H34" s="1920"/>
      <c r="I34" s="806" t="s">
        <v>1787</v>
      </c>
      <c r="J34" s="807"/>
      <c r="K34" s="1935"/>
      <c r="L34" s="1934"/>
      <c r="M34" s="1934"/>
    </row>
    <row r="35" spans="1:18" ht="18" customHeight="1">
      <c r="A35" s="786"/>
      <c r="B35" s="765"/>
      <c r="C35" s="69"/>
      <c r="D35" s="787"/>
      <c r="E35" s="756" t="s">
        <v>1775</v>
      </c>
      <c r="F35" s="757">
        <f ca="1">INDIRECT("'数据-取费表'!r"&amp;$G$1)</f>
        <v>0</v>
      </c>
      <c r="G35" s="1917"/>
      <c r="H35" s="1920"/>
      <c r="I35" s="808" t="s">
        <v>1788</v>
      </c>
      <c r="J35" s="809" t="e">
        <f ca="1">ROUND(C13*J36,0)</f>
        <v>#VALUE!</v>
      </c>
      <c r="K35" s="1933"/>
      <c r="L35" s="1932"/>
      <c r="M35" s="1932"/>
    </row>
    <row r="36" spans="1:18" ht="18" customHeight="1">
      <c r="A36" s="1551" t="s">
        <v>1857</v>
      </c>
      <c r="B36" s="756" t="s">
        <v>1776</v>
      </c>
      <c r="C36" s="53" t="e">
        <f ca="1">ROUND(C29*F36,1)</f>
        <v>#VALUE!</v>
      </c>
      <c r="D36" s="1863" t="s">
        <v>1777</v>
      </c>
      <c r="E36" s="756" t="s">
        <v>1770</v>
      </c>
      <c r="F36" s="788">
        <f ca="1">INDIRECT("'数据-取费表'!Ak"&amp;$G$1)</f>
        <v>0</v>
      </c>
      <c r="G36" s="1917"/>
      <c r="H36" s="1932"/>
      <c r="I36" s="810" t="s">
        <v>1789</v>
      </c>
      <c r="J36" s="811">
        <f ca="1">INDIRECT("'数据-取费表'!j"&amp;$G$1)</f>
        <v>0</v>
      </c>
      <c r="K36" s="1936"/>
      <c r="L36" s="1932"/>
      <c r="M36" s="1932"/>
    </row>
    <row r="37" spans="1:18" ht="18" customHeight="1">
      <c r="A37" s="1551" t="s">
        <v>1858</v>
      </c>
      <c r="B37" s="756" t="s">
        <v>657</v>
      </c>
      <c r="C37" s="53" t="e">
        <f ca="1">ROUND(C13*F37,1)</f>
        <v>#VALUE!</v>
      </c>
      <c r="D37" s="1863" t="s">
        <v>1778</v>
      </c>
      <c r="E37" s="756" t="s">
        <v>1770</v>
      </c>
      <c r="F37" s="789">
        <f ca="1">INDIRECT("'数据-取费表'!Al"&amp;$G$1)</f>
        <v>0</v>
      </c>
      <c r="G37" s="1917"/>
      <c r="H37" s="1932"/>
      <c r="I37" s="812" t="s">
        <v>1790</v>
      </c>
      <c r="J37" s="813"/>
      <c r="K37" s="1936"/>
      <c r="L37" s="1932"/>
      <c r="M37" s="1932"/>
    </row>
    <row r="38" spans="1:18" ht="18" customHeight="1" thickBot="1">
      <c r="A38" s="2373" t="s">
        <v>1859</v>
      </c>
      <c r="B38" s="2368" t="s">
        <v>644</v>
      </c>
      <c r="C38" s="2366">
        <f ca="1">ROUND(C5*F38,1)</f>
        <v>0</v>
      </c>
      <c r="D38" s="2367" t="s">
        <v>1779</v>
      </c>
      <c r="E38" s="2368" t="s">
        <v>1770</v>
      </c>
      <c r="F38" s="2364">
        <f ca="1">INDIRECT("'数据-取费表'!Am"&amp;$G$1)</f>
        <v>0</v>
      </c>
      <c r="G38" s="1917"/>
      <c r="H38" s="1932"/>
      <c r="I38" s="814" t="s">
        <v>1791</v>
      </c>
      <c r="J38" s="815"/>
      <c r="K38" s="1937"/>
      <c r="L38" s="1932"/>
      <c r="M38" s="1932"/>
    </row>
    <row r="39" spans="1:18" ht="24.6" customHeight="1" thickTop="1">
      <c r="A39" s="1717" t="s">
        <v>1862</v>
      </c>
      <c r="B39" s="2691" t="s">
        <v>2773</v>
      </c>
      <c r="C39" s="764" t="e">
        <f ca="1">C5-C30</f>
        <v>#VALUE!</v>
      </c>
      <c r="D39" s="2370" t="s">
        <v>1780</v>
      </c>
      <c r="E39" s="2371"/>
      <c r="F39" s="2372"/>
      <c r="G39" s="1917"/>
      <c r="H39" s="1932"/>
      <c r="I39" s="808" t="s">
        <v>1792</v>
      </c>
      <c r="J39" s="816" t="e">
        <f ca="1">ROUND(J35/C39,3)</f>
        <v>#VALUE!</v>
      </c>
      <c r="K39" s="1937"/>
      <c r="L39" s="1932"/>
      <c r="M39" s="1932"/>
    </row>
    <row r="40" spans="1:18" ht="18" customHeight="1">
      <c r="A40" s="753" t="s">
        <v>1863</v>
      </c>
      <c r="B40" s="2083" t="s">
        <v>2265</v>
      </c>
      <c r="C40" s="755" t="e">
        <f ca="1">ROUND(C39*(1-((1+F42)/(1+F40))^F41)/(F40-F42),0)</f>
        <v>#VALUE!</v>
      </c>
      <c r="D40" s="785" t="s">
        <v>1781</v>
      </c>
      <c r="E40" s="756" t="s">
        <v>2380</v>
      </c>
      <c r="F40" s="766">
        <f ca="1">INDIRECT("'数据-取费表'!I"&amp;$G$1)</f>
        <v>0</v>
      </c>
      <c r="G40" s="1917"/>
      <c r="H40" s="1917"/>
      <c r="I40" s="808" t="s">
        <v>1793</v>
      </c>
      <c r="J40" s="816" t="e">
        <f ca="1">1-J39</f>
        <v>#VALUE!</v>
      </c>
      <c r="K40" s="1937"/>
      <c r="L40" s="1917"/>
      <c r="M40" s="1917"/>
    </row>
    <row r="41" spans="1:18" ht="18" customHeight="1">
      <c r="A41" s="758"/>
      <c r="B41" s="759"/>
      <c r="C41" s="760"/>
      <c r="D41" s="792" t="s">
        <v>1782</v>
      </c>
      <c r="E41" s="756" t="s">
        <v>2898</v>
      </c>
      <c r="F41" s="793">
        <f ca="1">IF(INDIRECT("'数据-取费表'!af"&amp;$G$1)=0,INDIRECT("'数据-取费表'!ae"&amp;$G$1),INDIRECT("'数据-取费表'!af"&amp;$G$1))</f>
        <v>0</v>
      </c>
      <c r="G41" s="1917"/>
      <c r="H41" s="1872"/>
      <c r="I41" s="814" t="s">
        <v>1794</v>
      </c>
      <c r="J41" s="817"/>
      <c r="K41" s="1936"/>
      <c r="L41" s="1872"/>
      <c r="M41" s="1872"/>
    </row>
    <row r="42" spans="1:18" ht="18" customHeight="1">
      <c r="A42" s="762"/>
      <c r="B42" s="763"/>
      <c r="C42" s="764"/>
      <c r="D42" s="787"/>
      <c r="E42" s="756" t="s">
        <v>1783</v>
      </c>
      <c r="F42" s="766">
        <f ca="1">INDIRECT("'数据-取费表'!v"&amp;$G$1)</f>
        <v>0</v>
      </c>
      <c r="G42" s="1917"/>
      <c r="H42" s="1872"/>
      <c r="I42" s="818" t="s">
        <v>1795</v>
      </c>
      <c r="J42" s="816" t="e">
        <f ca="1">ROUND(C13/C40,3)</f>
        <v>#VALUE!</v>
      </c>
      <c r="K42" s="1936"/>
      <c r="L42" s="1872"/>
      <c r="M42" s="1872"/>
    </row>
    <row r="43" spans="1:18" ht="18" customHeight="1" thickBot="1">
      <c r="A43" s="794" t="s">
        <v>1761</v>
      </c>
      <c r="B43" s="795" t="s">
        <v>1784</v>
      </c>
      <c r="C43" s="796" t="e">
        <f ca="1">ROUND(C40*10000/F43,0)</f>
        <v>#VALUE!</v>
      </c>
      <c r="D43" s="797" t="s">
        <v>1785</v>
      </c>
      <c r="E43" s="798" t="s">
        <v>1786</v>
      </c>
      <c r="F43" s="799">
        <f ca="1">INDIRECT("'数据-取费表'!k"&amp;$G$1)</f>
        <v>0</v>
      </c>
      <c r="G43" s="1917"/>
      <c r="H43" s="1872"/>
      <c r="I43" s="818" t="s">
        <v>1796</v>
      </c>
      <c r="J43" s="819" t="e">
        <f ca="1">1-J42</f>
        <v>#VALUE!</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2259</v>
      </c>
      <c r="B46" s="1939"/>
      <c r="C46" s="2394" t="e">
        <f ca="1">C67-C40</f>
        <v>#VALUE!</v>
      </c>
      <c r="D46" s="3227"/>
      <c r="E46" s="3227"/>
      <c r="F46" s="3227"/>
      <c r="I46" s="2204" t="s">
        <v>2304</v>
      </c>
      <c r="J46" s="2205"/>
      <c r="K46" s="2206"/>
      <c r="L46" s="2777" t="e">
        <f ca="1">IF(OR(M47="住宅",D1="土地（套用方法）"),0,IF(L48&gt;J51,L60,J60))</f>
        <v>#VALUE!</v>
      </c>
      <c r="M46" s="3228"/>
      <c r="O46" s="2220" t="s">
        <v>2371</v>
      </c>
      <c r="P46" s="1501"/>
      <c r="Q46" s="1509"/>
      <c r="R46" s="1501"/>
    </row>
    <row r="47" spans="1:18" s="1914" customFormat="1" ht="18" customHeight="1" thickBot="1">
      <c r="A47" s="2198">
        <v>1</v>
      </c>
      <c r="B47" s="2199" t="s">
        <v>613</v>
      </c>
      <c r="C47" s="2394">
        <f ca="1">C48+C52+C54</f>
        <v>0</v>
      </c>
      <c r="D47" s="3227"/>
      <c r="E47" s="3227"/>
      <c r="F47" s="3227"/>
      <c r="I47" s="2768" t="s">
        <v>2305</v>
      </c>
      <c r="J47" s="2207"/>
      <c r="K47" s="2774" t="s">
        <v>2310</v>
      </c>
      <c r="L47" s="2778">
        <f ca="1">INDIRECT("'数据-取费表'!d"&amp;$G$1)</f>
        <v>0</v>
      </c>
      <c r="M47" s="1509" t="str">
        <f>IF(ISNUMBER(FIND("住宅",C1)),"住宅","非住宅")</f>
        <v>非住宅</v>
      </c>
      <c r="O47" s="2221" t="s">
        <v>2336</v>
      </c>
      <c r="P47" s="2222" t="s">
        <v>2337</v>
      </c>
      <c r="Q47" s="2223" t="s">
        <v>2338</v>
      </c>
      <c r="R47" s="2222" t="s">
        <v>2339</v>
      </c>
    </row>
    <row r="48" spans="1:18" s="1914" customFormat="1" ht="18" customHeight="1" thickBot="1">
      <c r="A48" s="2452" t="s">
        <v>2490</v>
      </c>
      <c r="B48" s="2453" t="s">
        <v>2491</v>
      </c>
      <c r="C48" s="2200">
        <f ca="1">ROUND(F48*F50*F49*(1-F51)/10000,0)</f>
        <v>0</v>
      </c>
      <c r="D48" s="2201" t="s">
        <v>614</v>
      </c>
      <c r="E48" s="2202" t="s">
        <v>2260</v>
      </c>
      <c r="F48" s="2203"/>
      <c r="G48" s="1944"/>
      <c r="I48" s="2765" t="s">
        <v>2306</v>
      </c>
      <c r="J48" s="2208"/>
      <c r="K48" s="2775" t="s">
        <v>2312</v>
      </c>
      <c r="L48" s="1795">
        <f ca="1">INDIRECT("'数据-取费表'!f"&amp;$G$1)</f>
        <v>0</v>
      </c>
      <c r="M48" s="3228"/>
      <c r="O48" s="2224" t="s">
        <v>2340</v>
      </c>
      <c r="P48" s="2225" t="s">
        <v>2366</v>
      </c>
      <c r="Q48" s="2226" t="e">
        <f ca="1">C40+J29</f>
        <v>#VALUE!</v>
      </c>
      <c r="R48" s="2225" t="s">
        <v>2341</v>
      </c>
    </row>
    <row r="49" spans="1:18" s="1914" customFormat="1" ht="18" customHeight="1" thickBot="1">
      <c r="A49" s="758"/>
      <c r="B49" s="759"/>
      <c r="C49" s="760"/>
      <c r="D49" s="761"/>
      <c r="E49" s="756" t="s">
        <v>1713</v>
      </c>
      <c r="F49" s="757">
        <f ca="1">F7</f>
        <v>0</v>
      </c>
      <c r="G49" s="1944"/>
      <c r="H49" s="1947"/>
      <c r="I49" s="2765" t="s">
        <v>2307</v>
      </c>
      <c r="J49" s="2209"/>
      <c r="K49" s="2776" t="s">
        <v>2313</v>
      </c>
      <c r="L49" s="2210"/>
      <c r="M49" s="3228"/>
      <c r="O49" s="2224" t="s">
        <v>2342</v>
      </c>
      <c r="P49" s="2225" t="s">
        <v>2367</v>
      </c>
      <c r="Q49" s="2226" t="e">
        <f ca="1">J60</f>
        <v>#VALUE!</v>
      </c>
      <c r="R49" s="2225" t="s">
        <v>2343</v>
      </c>
    </row>
    <row r="50" spans="1:18" s="1914" customFormat="1" ht="18" customHeight="1" thickBot="1">
      <c r="A50" s="758"/>
      <c r="B50" s="759"/>
      <c r="C50" s="760"/>
      <c r="D50" s="761"/>
      <c r="E50" s="756" t="s">
        <v>1714</v>
      </c>
      <c r="F50" s="757">
        <f ca="1">F8</f>
        <v>0</v>
      </c>
      <c r="G50" s="1949"/>
      <c r="H50" s="1947"/>
      <c r="I50" s="2765" t="s">
        <v>2308</v>
      </c>
      <c r="J50" s="2772">
        <f>SUMPRODUCT((I63:I65=J47)*(J62:L62=J48)*(J63:L65))</f>
        <v>0</v>
      </c>
      <c r="K50" s="2776" t="s">
        <v>2314</v>
      </c>
      <c r="L50" s="2210"/>
      <c r="M50" s="3228"/>
      <c r="O50" s="2227" t="s">
        <v>2344</v>
      </c>
      <c r="P50" s="2225" t="s">
        <v>2368</v>
      </c>
      <c r="Q50" s="2226" t="e">
        <f ca="1">C29</f>
        <v>#VALUE!</v>
      </c>
      <c r="R50" s="2225" t="s">
        <v>2341</v>
      </c>
    </row>
    <row r="51" spans="1:18" s="1914" customFormat="1" ht="18" customHeight="1" thickBot="1">
      <c r="A51" s="758"/>
      <c r="B51" s="759"/>
      <c r="C51" s="760"/>
      <c r="D51" s="761"/>
      <c r="E51" s="756" t="s">
        <v>618</v>
      </c>
      <c r="F51" s="2197"/>
      <c r="H51" s="1947"/>
      <c r="I51" s="2769" t="s">
        <v>2309</v>
      </c>
      <c r="J51" s="2773">
        <f>IF(J49="",J50,J49+J50-YEAR('数据-取费表'!B2))</f>
        <v>0</v>
      </c>
      <c r="K51" s="2765" t="s">
        <v>2315</v>
      </c>
      <c r="L51" s="2779" t="e">
        <f ca="1">ROUND(-PV(INDIRECT("'数据-取费表'!h"&amp;$G$1),J51,(C39-C13*J36),0),0)</f>
        <v>#VALUE!</v>
      </c>
      <c r="M51" s="3228"/>
      <c r="O51" s="2227" t="s">
        <v>2345</v>
      </c>
      <c r="P51" s="2225" t="s">
        <v>2346</v>
      </c>
      <c r="Q51" s="2228" t="e">
        <f ca="1">J58</f>
        <v>#DIV/0!</v>
      </c>
      <c r="R51" s="2229"/>
    </row>
    <row r="52" spans="1:18" s="1914" customFormat="1" ht="18" customHeight="1" thickBot="1">
      <c r="A52" s="753" t="s">
        <v>2489</v>
      </c>
      <c r="B52" s="2316" t="s">
        <v>2412</v>
      </c>
      <c r="C52" s="771">
        <f ca="1">ROUND(IF(F52="押一",C48/12*F11,IF(F52="押二",C48/12*2*F11,IF(F52="押三",C48/12*3*F11,C53*F11))),0)</f>
        <v>0</v>
      </c>
      <c r="D52" s="2323" t="s">
        <v>2907</v>
      </c>
      <c r="E52" s="2320" t="s">
        <v>2417</v>
      </c>
      <c r="F52" s="2433"/>
      <c r="I52" s="2770" t="s">
        <v>2382</v>
      </c>
      <c r="J52" s="2211"/>
      <c r="K52" s="2770" t="s">
        <v>2381</v>
      </c>
      <c r="L52" s="2211"/>
      <c r="M52" s="3228"/>
      <c r="O52" s="2227" t="s">
        <v>2347</v>
      </c>
      <c r="P52" s="2225" t="s">
        <v>2348</v>
      </c>
      <c r="Q52" s="2228">
        <f>J52</f>
        <v>0</v>
      </c>
      <c r="R52" s="2229"/>
    </row>
    <row r="53" spans="1:18" s="1914" customFormat="1" ht="39.75" customHeight="1" thickBot="1">
      <c r="A53" s="758"/>
      <c r="B53" s="2317" t="s">
        <v>2526</v>
      </c>
      <c r="C53" s="2321"/>
      <c r="D53" s="2323"/>
      <c r="E53" s="2320"/>
      <c r="F53" s="772"/>
      <c r="I53" s="2771" t="s">
        <v>2910</v>
      </c>
      <c r="J53" s="2824">
        <f ca="1">IF(M47="住宅",IF(D1="——",MAX(J51,L48),MAX(J51,L48-'数据-取费表'!B20)),IF(D1="——",MIN(J51,L48),MIN(J51,L48-'数据-取费表'!B20)))</f>
        <v>0</v>
      </c>
      <c r="K53" s="3721" t="s">
        <v>2900</v>
      </c>
      <c r="L53" s="3722"/>
      <c r="M53" s="3228"/>
      <c r="O53" s="2227" t="s">
        <v>2349</v>
      </c>
      <c r="P53" s="2225" t="s">
        <v>2350</v>
      </c>
      <c r="Q53" s="2226">
        <f ca="1">J53</f>
        <v>0</v>
      </c>
      <c r="R53" s="2225" t="s">
        <v>2351</v>
      </c>
    </row>
    <row r="54" spans="1:18" s="1914" customFormat="1" ht="18" customHeight="1" thickBot="1">
      <c r="A54" s="2359" t="s">
        <v>2420</v>
      </c>
      <c r="B54" s="2360" t="s">
        <v>2413</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2352</v>
      </c>
      <c r="P54" s="2225" t="s">
        <v>2369</v>
      </c>
      <c r="Q54" s="2226" t="e">
        <f ca="1">Q48+Q49</f>
        <v>#VALUE!</v>
      </c>
      <c r="R54" s="2229" t="s">
        <v>2353</v>
      </c>
    </row>
    <row r="55" spans="1:18" s="1914" customFormat="1" ht="18" customHeight="1" thickTop="1" thickBot="1">
      <c r="A55" s="769">
        <v>2</v>
      </c>
      <c r="B55" s="770" t="s">
        <v>622</v>
      </c>
      <c r="C55" s="771" t="e">
        <f ca="1">C13</f>
        <v>#VALUE!</v>
      </c>
      <c r="D55" s="767"/>
      <c r="E55" s="767"/>
      <c r="F55" s="772"/>
      <c r="I55" s="2782" t="s">
        <v>2316</v>
      </c>
      <c r="J55" s="2754" t="e">
        <f ca="1">ROUND(IF(J47="钢混",J57/J50,1-(1-2%)*(J50-J57)/J50),3)</f>
        <v>#DIV/0!</v>
      </c>
      <c r="K55" s="2783" t="s">
        <v>2317</v>
      </c>
      <c r="L55" s="2212"/>
      <c r="M55" s="3228"/>
      <c r="O55" s="2230" t="s">
        <v>2372</v>
      </c>
      <c r="P55" s="1501"/>
      <c r="Q55" s="1509"/>
      <c r="R55" s="1501"/>
    </row>
    <row r="56" spans="1:18" s="1914" customFormat="1" ht="42.75" customHeight="1" thickBot="1">
      <c r="A56" s="1552"/>
      <c r="B56" s="2082" t="s">
        <v>2266</v>
      </c>
      <c r="C56" s="53" t="e">
        <f ca="1">C29</f>
        <v>#VALUE!</v>
      </c>
      <c r="D56" s="2449"/>
      <c r="E56" s="756"/>
      <c r="F56" s="781"/>
      <c r="I56" s="2784" t="s">
        <v>2318</v>
      </c>
      <c r="J56" s="2794"/>
      <c r="K56" s="2765" t="s">
        <v>2323</v>
      </c>
      <c r="L56" s="1795">
        <f ca="1">IF(L48&lt;J51,"——",L48-J51)</f>
        <v>0</v>
      </c>
      <c r="M56" s="3228"/>
      <c r="O56" s="2221" t="s">
        <v>2336</v>
      </c>
      <c r="P56" s="2222" t="s">
        <v>2337</v>
      </c>
      <c r="Q56" s="2223" t="s">
        <v>2338</v>
      </c>
      <c r="R56" s="2222" t="s">
        <v>2339</v>
      </c>
    </row>
    <row r="57" spans="1:18" s="1914" customFormat="1" ht="28.5" customHeight="1" thickBot="1">
      <c r="A57" s="769" t="s">
        <v>1722</v>
      </c>
      <c r="B57" s="770" t="s">
        <v>629</v>
      </c>
      <c r="C57" s="771" t="e">
        <f ca="1">ROUND(C58+C63+C64+C65,0)</f>
        <v>#VALUE!</v>
      </c>
      <c r="D57" s="26" t="s">
        <v>1724</v>
      </c>
      <c r="E57" s="2450"/>
      <c r="F57" s="56"/>
      <c r="I57" s="2785" t="s">
        <v>2319</v>
      </c>
      <c r="J57" s="2786">
        <f ca="1">IF(OR(M47="住宅",J51&lt;L48,J56="是"),"——",J51-L48)</f>
        <v>0</v>
      </c>
      <c r="K57" s="2765" t="s">
        <v>2324</v>
      </c>
      <c r="L57" s="1795" t="e">
        <f ca="1">IF(L48&lt;J51,"——",IF(L55="比较法",L49,IF(L55="基准地价",L50,L51)))</f>
        <v>#VALUE!</v>
      </c>
      <c r="M57" s="3228"/>
      <c r="O57" s="2224" t="s">
        <v>2340</v>
      </c>
      <c r="P57" s="2225" t="s">
        <v>2370</v>
      </c>
      <c r="Q57" s="2226" t="e">
        <f ca="1">C40+J29</f>
        <v>#VALUE!</v>
      </c>
      <c r="R57" s="2225" t="s">
        <v>2341</v>
      </c>
    </row>
    <row r="58" spans="1:18" s="1914" customFormat="1" ht="28.5" customHeight="1" thickBot="1">
      <c r="A58" s="1551" t="s">
        <v>1798</v>
      </c>
      <c r="B58" s="756" t="s">
        <v>634</v>
      </c>
      <c r="C58" s="2985" t="e">
        <f ca="1">ROUND(IF(AND(项目基本情况!B11="自然人",项目基本情况!B10="北京市"),C48*F58/(1+'数据-取费表'!C42),C59+C60+C61),0)</f>
        <v>#VALUE!</v>
      </c>
      <c r="D58" s="2448" t="s">
        <v>635</v>
      </c>
      <c r="E58" s="2449" t="s">
        <v>668</v>
      </c>
      <c r="F58" s="2984">
        <f ca="1">IF(项目基本情况!B11="企业","——",IF('数据-取费表'!B10="住宅",IF(F48*F49*F50/12/(1+'数据-取费表'!F30)&gt;100000,4%,2.5%),IF(F48*F49*F50/12/(1+'数据-取费表'!F30)&gt;100000,12%,7%)))</f>
        <v>7.0000000000000007E-2</v>
      </c>
      <c r="I58" s="2785" t="s">
        <v>2320</v>
      </c>
      <c r="J58" s="2755" t="e">
        <f ca="1">IF(J55&lt;0.4,0.4,J55)</f>
        <v>#DIV/0!</v>
      </c>
      <c r="K58" s="2765" t="s">
        <v>2325</v>
      </c>
      <c r="L58" s="1795" t="e">
        <f ca="1">ROUND(POWER(1+L52,L47-L48)*(POWER(1+L52,L48)-1)/(POWER(1+L52,L47)-1),4)</f>
        <v>#DIV/0!</v>
      </c>
      <c r="M58" s="3228"/>
      <c r="O58" s="2224" t="s">
        <v>2342</v>
      </c>
      <c r="P58" s="2225" t="s">
        <v>2373</v>
      </c>
      <c r="Q58" s="2226" t="e">
        <f ca="1">L60</f>
        <v>#VALUE!</v>
      </c>
      <c r="R58" s="2229" t="s">
        <v>2375</v>
      </c>
    </row>
    <row r="59" spans="1:18" s="1914" customFormat="1" ht="28.5" customHeight="1" thickBot="1">
      <c r="A59" s="1550" t="s">
        <v>1805</v>
      </c>
      <c r="B59" s="756" t="s">
        <v>638</v>
      </c>
      <c r="C59" s="53">
        <f ca="1">ROUND(C47*F59/1.05,1)</f>
        <v>0</v>
      </c>
      <c r="D59" s="2449" t="s">
        <v>1730</v>
      </c>
      <c r="E59" s="756" t="s">
        <v>1721</v>
      </c>
      <c r="F59" s="781">
        <f t="shared" ref="F59:F65" si="0">F32</f>
        <v>0</v>
      </c>
      <c r="I59" s="2785" t="s">
        <v>2321</v>
      </c>
      <c r="J59" s="2786" t="e">
        <f ca="1">IF(OR(M47="住宅",J51&lt;L48,J56="是"),"——",ROUND(C29*J58,0))</f>
        <v>#VALUE!</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2344</v>
      </c>
      <c r="P59" s="2225" t="s">
        <v>2374</v>
      </c>
      <c r="Q59" s="2226">
        <f>IF(L55="比较法",L49,IF(L55="基准地价",L50,0))</f>
        <v>0</v>
      </c>
      <c r="R59" s="2225" t="s">
        <v>2341</v>
      </c>
    </row>
    <row r="60" spans="1:18" s="1914" customFormat="1" ht="18" customHeight="1" thickBot="1">
      <c r="A60" s="1550" t="s">
        <v>1806</v>
      </c>
      <c r="B60" s="756" t="s">
        <v>1732</v>
      </c>
      <c r="C60" s="53" t="e">
        <f ca="1">IF(D60="按租金收入计税",ROUND(C48*F60/(1+'数据-取费表'!C42),1),IF(D60="按房产原值计税",ROUND(C56*F60*0.7,1),INDIRECT("'数据-取费表'!Aj"&amp;$G$1)))</f>
        <v>#VALUE!</v>
      </c>
      <c r="D60" s="2449" t="str">
        <f>D33</f>
        <v>按房产原值计税</v>
      </c>
      <c r="E60" s="756" t="s">
        <v>1721</v>
      </c>
      <c r="F60" s="781">
        <f t="shared" si="0"/>
        <v>1.2E-2</v>
      </c>
      <c r="I60" s="2787" t="s">
        <v>2322</v>
      </c>
      <c r="J60" s="2788" t="e">
        <f ca="1">IF(OR(M47="住宅",J51&lt;L48,J56="是"),"0",ROUND(J59/(1+J52)^J53,0))</f>
        <v>#VALUE!</v>
      </c>
      <c r="K60" s="2789" t="s">
        <v>2327</v>
      </c>
      <c r="L60" s="2788" t="e">
        <f ca="1">IF(OR(M47="住宅",L48&lt;J51),0,ROUND(L57*(L58/L59-1),0))</f>
        <v>#VALUE!</v>
      </c>
      <c r="M60" s="3228"/>
      <c r="O60" s="2227" t="s">
        <v>2345</v>
      </c>
      <c r="P60" s="2225" t="s">
        <v>2354</v>
      </c>
      <c r="Q60" s="2228">
        <f>L52</f>
        <v>0</v>
      </c>
      <c r="R60" s="2229"/>
    </row>
    <row r="61" spans="1:18" s="1914" customFormat="1" ht="18" customHeight="1" thickBot="1">
      <c r="A61" s="1553" t="s">
        <v>1807</v>
      </c>
      <c r="B61" s="339" t="s">
        <v>646</v>
      </c>
      <c r="C61" s="54">
        <f ca="1">ROUND(F61*F62/10000,1)</f>
        <v>0</v>
      </c>
      <c r="D61" s="785" t="s">
        <v>647</v>
      </c>
      <c r="E61" s="756" t="s">
        <v>648</v>
      </c>
      <c r="F61" s="614">
        <f t="shared" si="0"/>
        <v>0</v>
      </c>
      <c r="K61" s="1940"/>
      <c r="O61" s="2227" t="s">
        <v>2347</v>
      </c>
      <c r="P61" s="2225" t="s">
        <v>2355</v>
      </c>
      <c r="Q61" s="2226" t="e">
        <f ca="1">L58</f>
        <v>#DIV/0!</v>
      </c>
      <c r="R61" s="2229" t="s">
        <v>2356</v>
      </c>
    </row>
    <row r="62" spans="1:18" s="1914" customFormat="1" ht="15.75" thickBot="1">
      <c r="A62" s="786"/>
      <c r="B62" s="765"/>
      <c r="C62" s="69"/>
      <c r="D62" s="787"/>
      <c r="E62" s="756" t="s">
        <v>652</v>
      </c>
      <c r="F62" s="757">
        <f t="shared" ca="1" si="0"/>
        <v>0</v>
      </c>
      <c r="I62" s="2790" t="s">
        <v>2328</v>
      </c>
      <c r="J62" s="2791" t="s">
        <v>2329</v>
      </c>
      <c r="K62" s="2791" t="s">
        <v>2330</v>
      </c>
      <c r="L62" s="2791" t="s">
        <v>2311</v>
      </c>
      <c r="M62" s="2792" t="s">
        <v>2879</v>
      </c>
      <c r="O62" s="2227" t="s">
        <v>2349</v>
      </c>
      <c r="P62" s="2225" t="str">
        <f>K59</f>
        <v>建筑物剩余耐用年限下的土地年期修正系数Kn</v>
      </c>
      <c r="Q62" s="2226" t="e">
        <f ca="1">L59</f>
        <v>#DIV/0!</v>
      </c>
      <c r="R62" s="2229" t="s">
        <v>2358</v>
      </c>
    </row>
    <row r="63" spans="1:18" s="1914" customFormat="1" ht="15.75" thickBot="1">
      <c r="A63" s="1551" t="s">
        <v>1857</v>
      </c>
      <c r="B63" s="756" t="s">
        <v>654</v>
      </c>
      <c r="C63" s="53" t="e">
        <f ca="1">ROUND(C56*F63,1)</f>
        <v>#VALUE!</v>
      </c>
      <c r="D63" s="2449" t="s">
        <v>1777</v>
      </c>
      <c r="E63" s="756" t="s">
        <v>1721</v>
      </c>
      <c r="F63" s="788">
        <f t="shared" ca="1" si="0"/>
        <v>0</v>
      </c>
      <c r="I63" s="2790" t="s">
        <v>2331</v>
      </c>
      <c r="J63" s="2791">
        <v>70</v>
      </c>
      <c r="K63" s="2791">
        <v>50</v>
      </c>
      <c r="L63" s="2791">
        <v>80</v>
      </c>
      <c r="M63" s="2793">
        <v>0.02</v>
      </c>
      <c r="O63" s="2224" t="s">
        <v>2352</v>
      </c>
      <c r="P63" s="2225" t="s">
        <v>2369</v>
      </c>
      <c r="Q63" s="2226" t="e">
        <f ca="1">Q57+Q58</f>
        <v>#VALUE!</v>
      </c>
      <c r="R63" s="2229" t="s">
        <v>2353</v>
      </c>
    </row>
    <row r="64" spans="1:18" s="1914" customFormat="1" ht="16.5" thickBot="1">
      <c r="A64" s="1551" t="s">
        <v>1858</v>
      </c>
      <c r="B64" s="756" t="s">
        <v>657</v>
      </c>
      <c r="C64" s="53" t="e">
        <f ca="1">ROUND(C55*F64,1)</f>
        <v>#VALUE!</v>
      </c>
      <c r="D64" s="2449" t="s">
        <v>658</v>
      </c>
      <c r="E64" s="756" t="s">
        <v>1721</v>
      </c>
      <c r="F64" s="789">
        <f t="shared" ca="1" si="0"/>
        <v>0</v>
      </c>
      <c r="I64" s="2790" t="s">
        <v>2332</v>
      </c>
      <c r="J64" s="2791">
        <v>50</v>
      </c>
      <c r="K64" s="2791">
        <v>35</v>
      </c>
      <c r="L64" s="2791">
        <v>60</v>
      </c>
      <c r="M64" s="817">
        <v>0</v>
      </c>
      <c r="O64" s="2230" t="s">
        <v>2376</v>
      </c>
      <c r="P64" s="1501"/>
      <c r="Q64" s="1509"/>
      <c r="R64" s="1501"/>
    </row>
    <row r="65" spans="1:18" s="1914" customFormat="1" ht="15.75" thickBot="1">
      <c r="A65" s="1551" t="s">
        <v>1859</v>
      </c>
      <c r="B65" s="756" t="s">
        <v>644</v>
      </c>
      <c r="C65" s="53">
        <f ca="1">ROUND(C47*F65,1)</f>
        <v>0</v>
      </c>
      <c r="D65" s="2449" t="s">
        <v>661</v>
      </c>
      <c r="E65" s="756" t="s">
        <v>1721</v>
      </c>
      <c r="F65" s="766">
        <f t="shared" ca="1" si="0"/>
        <v>0</v>
      </c>
      <c r="I65" s="2790" t="s">
        <v>2333</v>
      </c>
      <c r="J65" s="2791">
        <v>40</v>
      </c>
      <c r="K65" s="2791">
        <v>30</v>
      </c>
      <c r="L65" s="2791">
        <v>50</v>
      </c>
      <c r="M65" s="2793">
        <v>0.02</v>
      </c>
      <c r="O65" s="2221" t="s">
        <v>2336</v>
      </c>
      <c r="P65" s="2222" t="s">
        <v>2337</v>
      </c>
      <c r="Q65" s="2223" t="s">
        <v>2338</v>
      </c>
      <c r="R65" s="2222" t="s">
        <v>2339</v>
      </c>
    </row>
    <row r="66" spans="1:18" s="1914" customFormat="1" ht="24.75" thickBot="1">
      <c r="A66" s="769" t="s">
        <v>1750</v>
      </c>
      <c r="B66" s="2692" t="s">
        <v>2773</v>
      </c>
      <c r="C66" s="771" t="e">
        <f ca="1">C47-C57</f>
        <v>#VALUE!</v>
      </c>
      <c r="D66" s="2448" t="s">
        <v>678</v>
      </c>
      <c r="E66" s="2447"/>
      <c r="F66" s="791"/>
      <c r="K66" s="1940"/>
      <c r="O66" s="2224" t="s">
        <v>2340</v>
      </c>
      <c r="P66" s="2225" t="s">
        <v>2370</v>
      </c>
      <c r="Q66" s="2226" t="e">
        <f ca="1">C40+J29</f>
        <v>#VALUE!</v>
      </c>
      <c r="R66" s="2225" t="s">
        <v>2341</v>
      </c>
    </row>
    <row r="67" spans="1:18" s="1914" customFormat="1" ht="20.25" thickBot="1">
      <c r="A67" s="753" t="s">
        <v>1754</v>
      </c>
      <c r="B67" s="2083" t="s">
        <v>2265</v>
      </c>
      <c r="C67" s="755" t="e">
        <f ca="1">ROUND(C66*(1-((1+F69)/(1+F67))^F68)/(F67-F69),0)</f>
        <v>#VALUE!</v>
      </c>
      <c r="D67" s="785" t="s">
        <v>682</v>
      </c>
      <c r="E67" s="756" t="s">
        <v>683</v>
      </c>
      <c r="F67" s="766">
        <f ca="1">F40</f>
        <v>0</v>
      </c>
      <c r="K67" s="1940"/>
      <c r="O67" s="2224" t="s">
        <v>2342</v>
      </c>
      <c r="P67" s="2225" t="s">
        <v>2373</v>
      </c>
      <c r="Q67" s="2226" t="e">
        <f ca="1">L60</f>
        <v>#VALUE!</v>
      </c>
      <c r="R67" s="2229" t="s">
        <v>2375</v>
      </c>
    </row>
    <row r="68" spans="1:18" ht="21.75" thickBot="1">
      <c r="A68" s="758"/>
      <c r="B68" s="759"/>
      <c r="C68" s="760"/>
      <c r="D68" s="792" t="s">
        <v>1782</v>
      </c>
      <c r="E68" s="756" t="s">
        <v>1758</v>
      </c>
      <c r="F68" s="793">
        <f ca="1">F41</f>
        <v>0</v>
      </c>
      <c r="O68" s="2227" t="s">
        <v>2344</v>
      </c>
      <c r="P68" s="2225" t="s">
        <v>2374</v>
      </c>
      <c r="Q68" s="2231" t="e">
        <f ca="1">L51</f>
        <v>#VALUE!</v>
      </c>
      <c r="R68" s="2232" t="s">
        <v>2377</v>
      </c>
    </row>
    <row r="69" spans="1:18" ht="20.25" thickBot="1">
      <c r="A69" s="762"/>
      <c r="B69" s="763"/>
      <c r="C69" s="764"/>
      <c r="D69" s="787"/>
      <c r="E69" s="756" t="s">
        <v>688</v>
      </c>
      <c r="F69" s="2197"/>
      <c r="O69" s="2227" t="s">
        <v>2345</v>
      </c>
      <c r="P69" s="2233" t="s">
        <v>2359</v>
      </c>
      <c r="Q69" s="2226" t="e">
        <f ca="1">ROUND(Q70-Q71*Q72,0)</f>
        <v>#VALUE!</v>
      </c>
      <c r="R69" s="2229"/>
    </row>
    <row r="70" spans="1:18" ht="15.75" thickBot="1">
      <c r="A70" s="794" t="s">
        <v>1761</v>
      </c>
      <c r="B70" s="795" t="s">
        <v>1784</v>
      </c>
      <c r="C70" s="796" t="e">
        <f ca="1">ROUND(C67*10000/F70,0)</f>
        <v>#VALUE!</v>
      </c>
      <c r="D70" s="797" t="s">
        <v>1785</v>
      </c>
      <c r="E70" s="798" t="s">
        <v>1786</v>
      </c>
      <c r="F70" s="799">
        <f ca="1">F43</f>
        <v>0</v>
      </c>
      <c r="O70" s="2227" t="s">
        <v>2360</v>
      </c>
      <c r="P70" s="2233" t="s">
        <v>2361</v>
      </c>
      <c r="Q70" s="2226" t="e">
        <f ca="1">C39</f>
        <v>#VALUE!</v>
      </c>
      <c r="R70" s="2225" t="s">
        <v>2341</v>
      </c>
    </row>
    <row r="71" spans="1:18" ht="15.75" thickBot="1">
      <c r="O71" s="2227" t="s">
        <v>2362</v>
      </c>
      <c r="P71" s="2233" t="s">
        <v>2363</v>
      </c>
      <c r="Q71" s="2226" t="e">
        <f ca="1">C13</f>
        <v>#VALUE!</v>
      </c>
      <c r="R71" s="2225" t="s">
        <v>2341</v>
      </c>
    </row>
    <row r="72" spans="1:18" ht="15.75" thickBot="1">
      <c r="O72" s="2227" t="s">
        <v>2364</v>
      </c>
      <c r="P72" s="2233" t="s">
        <v>2365</v>
      </c>
      <c r="Q72" s="2228">
        <f ca="1">J36</f>
        <v>0</v>
      </c>
      <c r="R72" s="2229"/>
    </row>
    <row r="73" spans="1:18" ht="15.75" thickBot="1">
      <c r="O73" s="2227" t="s">
        <v>2347</v>
      </c>
      <c r="P73" s="2225" t="s">
        <v>2354</v>
      </c>
      <c r="Q73" s="2228">
        <f>L52</f>
        <v>0</v>
      </c>
      <c r="R73" s="2229"/>
    </row>
    <row r="74" spans="1:18" ht="20.25" thickBot="1">
      <c r="O74" s="2227" t="s">
        <v>2349</v>
      </c>
      <c r="P74" s="2225" t="s">
        <v>2355</v>
      </c>
      <c r="Q74" s="2226" t="e">
        <f ca="1">L58</f>
        <v>#DIV/0!</v>
      </c>
      <c r="R74" s="2229" t="s">
        <v>2356</v>
      </c>
    </row>
    <row r="75" spans="1:18" ht="15.75" thickBot="1">
      <c r="O75" s="2227" t="s">
        <v>2378</v>
      </c>
      <c r="P75" s="2225" t="str">
        <f>K59</f>
        <v>建筑物剩余耐用年限下的土地年期修正系数Kn</v>
      </c>
      <c r="Q75" s="2226" t="e">
        <f ca="1">L59</f>
        <v>#DIV/0!</v>
      </c>
      <c r="R75" s="2229" t="s">
        <v>2358</v>
      </c>
    </row>
    <row r="76" spans="1:18" ht="15.75" thickBot="1">
      <c r="O76" s="2224" t="s">
        <v>2352</v>
      </c>
      <c r="P76" s="2225" t="s">
        <v>2369</v>
      </c>
      <c r="Q76" s="2226" t="e">
        <f ca="1">Q66+Q67</f>
        <v>#VALUE!</v>
      </c>
      <c r="R76" s="2229"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0" priority="7">
      <formula>$L$48&gt;$J$51</formula>
    </cfRule>
  </conditionalFormatting>
  <conditionalFormatting sqref="I55">
    <cfRule type="expression" dxfId="129" priority="8">
      <formula>$J$51&gt;$L$48</formula>
    </cfRule>
  </conditionalFormatting>
  <conditionalFormatting sqref="I60">
    <cfRule type="expression" dxfId="128" priority="6">
      <formula>$J$51&gt;$L$48</formula>
    </cfRule>
  </conditionalFormatting>
  <conditionalFormatting sqref="K60">
    <cfRule type="expression" dxfId="127" priority="5">
      <formula>$L$48&gt;$J$51</formula>
    </cfRule>
  </conditionalFormatting>
  <conditionalFormatting sqref="C11">
    <cfRule type="expression" dxfId="126" priority="4">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82" customWidth="1"/>
    <col min="2" max="2" width="8.875" style="3282"/>
    <col min="3" max="5" width="12.875" style="3282" customWidth="1"/>
    <col min="6" max="6" width="4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5" style="3282" customWidth="1"/>
    <col min="258" max="258" width="8.875" style="3282"/>
    <col min="259" max="261" width="12.875" style="3282" customWidth="1"/>
    <col min="262" max="262" width="4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5" style="3282" customWidth="1"/>
    <col min="514" max="514" width="8.875" style="3282"/>
    <col min="515" max="517" width="12.875" style="3282" customWidth="1"/>
    <col min="518" max="518" width="4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5" style="3282" customWidth="1"/>
    <col min="770" max="770" width="8.875" style="3282"/>
    <col min="771" max="773" width="12.875" style="3282" customWidth="1"/>
    <col min="774" max="774" width="4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5" style="3282" customWidth="1"/>
    <col min="1026" max="1026" width="8.875" style="3282"/>
    <col min="1027" max="1029" width="12.875" style="3282" customWidth="1"/>
    <col min="1030" max="1030" width="4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5" style="3282" customWidth="1"/>
    <col min="1282" max="1282" width="8.875" style="3282"/>
    <col min="1283" max="1285" width="12.875" style="3282" customWidth="1"/>
    <col min="1286" max="1286" width="4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5" style="3282" customWidth="1"/>
    <col min="1538" max="1538" width="8.875" style="3282"/>
    <col min="1539" max="1541" width="12.875" style="3282" customWidth="1"/>
    <col min="1542" max="1542" width="4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5" style="3282" customWidth="1"/>
    <col min="1794" max="1794" width="8.875" style="3282"/>
    <col min="1795" max="1797" width="12.875" style="3282" customWidth="1"/>
    <col min="1798" max="1798" width="4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5" style="3282" customWidth="1"/>
    <col min="2050" max="2050" width="8.875" style="3282"/>
    <col min="2051" max="2053" width="12.875" style="3282" customWidth="1"/>
    <col min="2054" max="2054" width="4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5" style="3282" customWidth="1"/>
    <col min="2306" max="2306" width="8.875" style="3282"/>
    <col min="2307" max="2309" width="12.875" style="3282" customWidth="1"/>
    <col min="2310" max="2310" width="4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5" style="3282" customWidth="1"/>
    <col min="2562" max="2562" width="8.875" style="3282"/>
    <col min="2563" max="2565" width="12.875" style="3282" customWidth="1"/>
    <col min="2566" max="2566" width="4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5" style="3282" customWidth="1"/>
    <col min="2818" max="2818" width="8.875" style="3282"/>
    <col min="2819" max="2821" width="12.875" style="3282" customWidth="1"/>
    <col min="2822" max="2822" width="4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5" style="3282" customWidth="1"/>
    <col min="3074" max="3074" width="8.875" style="3282"/>
    <col min="3075" max="3077" width="12.875" style="3282" customWidth="1"/>
    <col min="3078" max="3078" width="4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5" style="3282" customWidth="1"/>
    <col min="3330" max="3330" width="8.875" style="3282"/>
    <col min="3331" max="3333" width="12.875" style="3282" customWidth="1"/>
    <col min="3334" max="3334" width="4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5" style="3282" customWidth="1"/>
    <col min="3586" max="3586" width="8.875" style="3282"/>
    <col min="3587" max="3589" width="12.875" style="3282" customWidth="1"/>
    <col min="3590" max="3590" width="4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5" style="3282" customWidth="1"/>
    <col min="3842" max="3842" width="8.875" style="3282"/>
    <col min="3843" max="3845" width="12.875" style="3282" customWidth="1"/>
    <col min="3846" max="3846" width="4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5" style="3282" customWidth="1"/>
    <col min="4098" max="4098" width="8.875" style="3282"/>
    <col min="4099" max="4101" width="12.875" style="3282" customWidth="1"/>
    <col min="4102" max="4102" width="4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5" style="3282" customWidth="1"/>
    <col min="4354" max="4354" width="8.875" style="3282"/>
    <col min="4355" max="4357" width="12.875" style="3282" customWidth="1"/>
    <col min="4358" max="4358" width="4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5" style="3282" customWidth="1"/>
    <col min="4610" max="4610" width="8.875" style="3282"/>
    <col min="4611" max="4613" width="12.875" style="3282" customWidth="1"/>
    <col min="4614" max="4614" width="4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5" style="3282" customWidth="1"/>
    <col min="4866" max="4866" width="8.875" style="3282"/>
    <col min="4867" max="4869" width="12.875" style="3282" customWidth="1"/>
    <col min="4870" max="4870" width="4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5" style="3282" customWidth="1"/>
    <col min="5122" max="5122" width="8.875" style="3282"/>
    <col min="5123" max="5125" width="12.875" style="3282" customWidth="1"/>
    <col min="5126" max="5126" width="4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5" style="3282" customWidth="1"/>
    <col min="5378" max="5378" width="8.875" style="3282"/>
    <col min="5379" max="5381" width="12.875" style="3282" customWidth="1"/>
    <col min="5382" max="5382" width="4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5" style="3282" customWidth="1"/>
    <col min="5634" max="5634" width="8.875" style="3282"/>
    <col min="5635" max="5637" width="12.875" style="3282" customWidth="1"/>
    <col min="5638" max="5638" width="4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5" style="3282" customWidth="1"/>
    <col min="5890" max="5890" width="8.875" style="3282"/>
    <col min="5891" max="5893" width="12.875" style="3282" customWidth="1"/>
    <col min="5894" max="5894" width="4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5" style="3282" customWidth="1"/>
    <col min="6146" max="6146" width="8.875" style="3282"/>
    <col min="6147" max="6149" width="12.875" style="3282" customWidth="1"/>
    <col min="6150" max="6150" width="4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5" style="3282" customWidth="1"/>
    <col min="6402" max="6402" width="8.875" style="3282"/>
    <col min="6403" max="6405" width="12.875" style="3282" customWidth="1"/>
    <col min="6406" max="6406" width="4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5" style="3282" customWidth="1"/>
    <col min="6658" max="6658" width="8.875" style="3282"/>
    <col min="6659" max="6661" width="12.875" style="3282" customWidth="1"/>
    <col min="6662" max="6662" width="4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5" style="3282" customWidth="1"/>
    <col min="6914" max="6914" width="8.875" style="3282"/>
    <col min="6915" max="6917" width="12.875" style="3282" customWidth="1"/>
    <col min="6918" max="6918" width="4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5" style="3282" customWidth="1"/>
    <col min="7170" max="7170" width="8.875" style="3282"/>
    <col min="7171" max="7173" width="12.875" style="3282" customWidth="1"/>
    <col min="7174" max="7174" width="4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5" style="3282" customWidth="1"/>
    <col min="7426" max="7426" width="8.875" style="3282"/>
    <col min="7427" max="7429" width="12.875" style="3282" customWidth="1"/>
    <col min="7430" max="7430" width="4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5" style="3282" customWidth="1"/>
    <col min="7682" max="7682" width="8.875" style="3282"/>
    <col min="7683" max="7685" width="12.875" style="3282" customWidth="1"/>
    <col min="7686" max="7686" width="4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5" style="3282" customWidth="1"/>
    <col min="7938" max="7938" width="8.875" style="3282"/>
    <col min="7939" max="7941" width="12.875" style="3282" customWidth="1"/>
    <col min="7942" max="7942" width="4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5" style="3282" customWidth="1"/>
    <col min="8194" max="8194" width="8.875" style="3282"/>
    <col min="8195" max="8197" width="12.875" style="3282" customWidth="1"/>
    <col min="8198" max="8198" width="4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5" style="3282" customWidth="1"/>
    <col min="8450" max="8450" width="8.875" style="3282"/>
    <col min="8451" max="8453" width="12.875" style="3282" customWidth="1"/>
    <col min="8454" max="8454" width="4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5" style="3282" customWidth="1"/>
    <col min="8706" max="8706" width="8.875" style="3282"/>
    <col min="8707" max="8709" width="12.875" style="3282" customWidth="1"/>
    <col min="8710" max="8710" width="4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5" style="3282" customWidth="1"/>
    <col min="8962" max="8962" width="8.875" style="3282"/>
    <col min="8963" max="8965" width="12.875" style="3282" customWidth="1"/>
    <col min="8966" max="8966" width="4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5" style="3282" customWidth="1"/>
    <col min="9218" max="9218" width="8.875" style="3282"/>
    <col min="9219" max="9221" width="12.875" style="3282" customWidth="1"/>
    <col min="9222" max="9222" width="4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5" style="3282" customWidth="1"/>
    <col min="9474" max="9474" width="8.875" style="3282"/>
    <col min="9475" max="9477" width="12.875" style="3282" customWidth="1"/>
    <col min="9478" max="9478" width="4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5" style="3282" customWidth="1"/>
    <col min="9730" max="9730" width="8.875" style="3282"/>
    <col min="9731" max="9733" width="12.875" style="3282" customWidth="1"/>
    <col min="9734" max="9734" width="4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5" style="3282" customWidth="1"/>
    <col min="9986" max="9986" width="8.875" style="3282"/>
    <col min="9987" max="9989" width="12.875" style="3282" customWidth="1"/>
    <col min="9990" max="9990" width="4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5" style="3282" customWidth="1"/>
    <col min="10242" max="10242" width="8.875" style="3282"/>
    <col min="10243" max="10245" width="12.875" style="3282" customWidth="1"/>
    <col min="10246" max="10246" width="4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5" style="3282" customWidth="1"/>
    <col min="10498" max="10498" width="8.875" style="3282"/>
    <col min="10499" max="10501" width="12.875" style="3282" customWidth="1"/>
    <col min="10502" max="10502" width="4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5" style="3282" customWidth="1"/>
    <col min="10754" max="10754" width="8.875" style="3282"/>
    <col min="10755" max="10757" width="12.875" style="3282" customWidth="1"/>
    <col min="10758" max="10758" width="4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5" style="3282" customWidth="1"/>
    <col min="11010" max="11010" width="8.875" style="3282"/>
    <col min="11011" max="11013" width="12.875" style="3282" customWidth="1"/>
    <col min="11014" max="11014" width="4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5" style="3282" customWidth="1"/>
    <col min="11266" max="11266" width="8.875" style="3282"/>
    <col min="11267" max="11269" width="12.875" style="3282" customWidth="1"/>
    <col min="11270" max="11270" width="4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5" style="3282" customWidth="1"/>
    <col min="11522" max="11522" width="8.875" style="3282"/>
    <col min="11523" max="11525" width="12.875" style="3282" customWidth="1"/>
    <col min="11526" max="11526" width="4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5" style="3282" customWidth="1"/>
    <col min="11778" max="11778" width="8.875" style="3282"/>
    <col min="11779" max="11781" width="12.875" style="3282" customWidth="1"/>
    <col min="11782" max="11782" width="4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5" style="3282" customWidth="1"/>
    <col min="12034" max="12034" width="8.875" style="3282"/>
    <col min="12035" max="12037" width="12.875" style="3282" customWidth="1"/>
    <col min="12038" max="12038" width="4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5" style="3282" customWidth="1"/>
    <col min="12290" max="12290" width="8.875" style="3282"/>
    <col min="12291" max="12293" width="12.875" style="3282" customWidth="1"/>
    <col min="12294" max="12294" width="4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5" style="3282" customWidth="1"/>
    <col min="12546" max="12546" width="8.875" style="3282"/>
    <col min="12547" max="12549" width="12.875" style="3282" customWidth="1"/>
    <col min="12550" max="12550" width="4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5" style="3282" customWidth="1"/>
    <col min="12802" max="12802" width="8.875" style="3282"/>
    <col min="12803" max="12805" width="12.875" style="3282" customWidth="1"/>
    <col min="12806" max="12806" width="4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5" style="3282" customWidth="1"/>
    <col min="13058" max="13058" width="8.875" style="3282"/>
    <col min="13059" max="13061" width="12.875" style="3282" customWidth="1"/>
    <col min="13062" max="13062" width="4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5" style="3282" customWidth="1"/>
    <col min="13314" max="13314" width="8.875" style="3282"/>
    <col min="13315" max="13317" width="12.875" style="3282" customWidth="1"/>
    <col min="13318" max="13318" width="4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5" style="3282" customWidth="1"/>
    <col min="13570" max="13570" width="8.875" style="3282"/>
    <col min="13571" max="13573" width="12.875" style="3282" customWidth="1"/>
    <col min="13574" max="13574" width="4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5" style="3282" customWidth="1"/>
    <col min="13826" max="13826" width="8.875" style="3282"/>
    <col min="13827" max="13829" width="12.875" style="3282" customWidth="1"/>
    <col min="13830" max="13830" width="4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5" style="3282" customWidth="1"/>
    <col min="14082" max="14082" width="8.875" style="3282"/>
    <col min="14083" max="14085" width="12.875" style="3282" customWidth="1"/>
    <col min="14086" max="14086" width="4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5" style="3282" customWidth="1"/>
    <col min="14338" max="14338" width="8.875" style="3282"/>
    <col min="14339" max="14341" width="12.875" style="3282" customWidth="1"/>
    <col min="14342" max="14342" width="4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5" style="3282" customWidth="1"/>
    <col min="14594" max="14594" width="8.875" style="3282"/>
    <col min="14595" max="14597" width="12.875" style="3282" customWidth="1"/>
    <col min="14598" max="14598" width="4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5" style="3282" customWidth="1"/>
    <col min="14850" max="14850" width="8.875" style="3282"/>
    <col min="14851" max="14853" width="12.875" style="3282" customWidth="1"/>
    <col min="14854" max="14854" width="4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5" style="3282" customWidth="1"/>
    <col min="15106" max="15106" width="8.875" style="3282"/>
    <col min="15107" max="15109" width="12.875" style="3282" customWidth="1"/>
    <col min="15110" max="15110" width="4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5" style="3282" customWidth="1"/>
    <col min="15362" max="15362" width="8.875" style="3282"/>
    <col min="15363" max="15365" width="12.875" style="3282" customWidth="1"/>
    <col min="15366" max="15366" width="4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5" style="3282" customWidth="1"/>
    <col min="15618" max="15618" width="8.875" style="3282"/>
    <col min="15619" max="15621" width="12.875" style="3282" customWidth="1"/>
    <col min="15622" max="15622" width="4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5" style="3282" customWidth="1"/>
    <col min="15874" max="15874" width="8.875" style="3282"/>
    <col min="15875" max="15877" width="12.875" style="3282" customWidth="1"/>
    <col min="15878" max="15878" width="4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5" style="3282" customWidth="1"/>
    <col min="16130" max="16130" width="8.875" style="3282"/>
    <col min="16131" max="16133" width="12.875" style="3282" customWidth="1"/>
    <col min="16134" max="16134" width="4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3000</v>
      </c>
      <c r="B1" s="3271"/>
      <c r="C1" s="3272"/>
      <c r="D1" s="3272"/>
      <c r="E1" s="3273"/>
      <c r="F1" s="3274"/>
      <c r="G1" s="3275"/>
      <c r="J1" s="3278" t="s">
        <v>3001</v>
      </c>
      <c r="K1" s="3279"/>
      <c r="L1" s="3279"/>
      <c r="M1" s="3279"/>
      <c r="N1" s="3279"/>
      <c r="O1" s="3279"/>
      <c r="P1" s="3279"/>
      <c r="Q1" s="3279"/>
      <c r="R1" s="3280"/>
      <c r="S1" s="3281"/>
      <c r="T1" s="3281"/>
      <c r="U1" s="3281"/>
    </row>
    <row r="2" spans="1:22" s="3291" customFormat="1" ht="13.15" customHeight="1">
      <c r="A2" s="3283" t="s">
        <v>3002</v>
      </c>
      <c r="B2" s="3284" t="e">
        <f>C40</f>
        <v>#DIV/0!</v>
      </c>
      <c r="C2" s="3272" t="s">
        <v>3003</v>
      </c>
      <c r="D2" s="3272"/>
      <c r="E2" s="3273"/>
      <c r="F2" s="3274"/>
      <c r="G2" s="3285"/>
      <c r="H2" s="3286"/>
      <c r="I2" s="3287"/>
      <c r="J2" s="3729" t="s">
        <v>3004</v>
      </c>
      <c r="K2" s="3730"/>
      <c r="L2" s="3288" t="s">
        <v>3005</v>
      </c>
      <c r="M2" s="3288" t="s">
        <v>3006</v>
      </c>
      <c r="N2" s="3288" t="s">
        <v>3007</v>
      </c>
      <c r="O2" s="3288" t="s">
        <v>3008</v>
      </c>
      <c r="P2" s="3288" t="s">
        <v>3009</v>
      </c>
      <c r="Q2" s="3289" t="s">
        <v>3010</v>
      </c>
      <c r="R2" s="3290" t="s">
        <v>3011</v>
      </c>
      <c r="S2" s="3281"/>
      <c r="T2" s="3281"/>
      <c r="U2" s="3281"/>
      <c r="V2" s="3287"/>
    </row>
    <row r="3" spans="1:22" s="3291" customFormat="1" ht="13.15" customHeight="1">
      <c r="A3" s="3292" t="s">
        <v>3012</v>
      </c>
      <c r="B3" s="3293" t="e">
        <f>ROUND(B2*10000/B4,0)</f>
        <v>#DIV/0!</v>
      </c>
      <c r="C3" s="3272" t="s">
        <v>3013</v>
      </c>
      <c r="D3" s="3272"/>
      <c r="E3" s="3273"/>
      <c r="F3" s="3274"/>
      <c r="G3" s="3285"/>
      <c r="H3" s="3286"/>
      <c r="I3" s="3287"/>
      <c r="J3" s="3731" t="s">
        <v>3014</v>
      </c>
      <c r="K3" s="3732"/>
      <c r="L3" s="3294"/>
      <c r="M3" s="3294"/>
      <c r="N3" s="3294"/>
      <c r="O3" s="3294"/>
      <c r="P3" s="3294"/>
      <c r="Q3" s="3295"/>
      <c r="R3" s="3296">
        <f>SUM(L3:Q3)</f>
        <v>0</v>
      </c>
      <c r="S3" s="3281"/>
      <c r="T3" s="3281"/>
      <c r="U3" s="3281"/>
      <c r="V3" s="3287"/>
    </row>
    <row r="4" spans="1:22" s="3291" customFormat="1" ht="13.15" customHeight="1">
      <c r="A4" s="3297" t="s">
        <v>3015</v>
      </c>
      <c r="B4" s="3298"/>
      <c r="C4" s="3272"/>
      <c r="D4" s="3272"/>
      <c r="E4" s="3273"/>
      <c r="F4" s="3274"/>
      <c r="G4" s="3285"/>
      <c r="H4" s="3286"/>
      <c r="I4" s="3287"/>
      <c r="J4" s="3731" t="s">
        <v>3016</v>
      </c>
      <c r="K4" s="3732"/>
      <c r="L4" s="3299"/>
      <c r="M4" s="3299"/>
      <c r="N4" s="3299"/>
      <c r="O4" s="3299"/>
      <c r="P4" s="3299"/>
      <c r="Q4" s="3300"/>
      <c r="R4" s="3301">
        <f>SUM(L4:Q4)</f>
        <v>0</v>
      </c>
      <c r="S4" s="3281"/>
      <c r="T4" s="3281"/>
      <c r="U4" s="3281"/>
      <c r="V4" s="3287"/>
    </row>
    <row r="5" spans="1:22" s="3291" customFormat="1" ht="13.15" customHeight="1" thickBot="1">
      <c r="A5" s="3302" t="s">
        <v>3017</v>
      </c>
      <c r="B5" s="3303"/>
      <c r="C5" s="3272"/>
      <c r="D5" s="3304"/>
      <c r="E5" s="3274"/>
      <c r="F5" s="3274"/>
      <c r="G5" s="3285"/>
      <c r="H5" s="3286"/>
      <c r="I5" s="3287"/>
      <c r="J5" s="3305" t="s">
        <v>3018</v>
      </c>
      <c r="K5" s="3306"/>
      <c r="L5" s="3306"/>
      <c r="M5" s="3307"/>
      <c r="N5" s="3307"/>
      <c r="O5" s="3307"/>
      <c r="P5" s="3307"/>
      <c r="Q5" s="3307"/>
      <c r="R5" s="3290">
        <f>SUM(R14,R19,R24,R25,R27,R28)</f>
        <v>0</v>
      </c>
      <c r="S5" s="3281"/>
      <c r="T5" s="3281" t="s">
        <v>3019</v>
      </c>
      <c r="U5" s="3281" t="e">
        <f>ROUND(R5*10000/365/R3,1)</f>
        <v>#DIV/0!</v>
      </c>
      <c r="V5" s="3287"/>
    </row>
    <row r="6" spans="1:22" s="3291" customFormat="1" ht="13.15" customHeight="1" thickBot="1">
      <c r="A6" s="3737" t="s">
        <v>3020</v>
      </c>
      <c r="B6" s="3738"/>
      <c r="C6" s="3739"/>
      <c r="D6" s="3308"/>
      <c r="E6" s="3309"/>
      <c r="F6" s="3310"/>
      <c r="G6" s="3311"/>
      <c r="H6" s="3286"/>
      <c r="I6" s="3287"/>
      <c r="J6" s="3723">
        <v>1</v>
      </c>
      <c r="K6" s="3724" t="s">
        <v>3021</v>
      </c>
      <c r="L6" s="3312" t="s">
        <v>3022</v>
      </c>
      <c r="M6" s="3313" t="s">
        <v>3023</v>
      </c>
      <c r="N6" s="3313" t="s">
        <v>3024</v>
      </c>
      <c r="O6" s="3313" t="s">
        <v>3025</v>
      </c>
      <c r="P6" s="3313" t="s">
        <v>3026</v>
      </c>
      <c r="Q6" s="3313" t="s">
        <v>3027</v>
      </c>
      <c r="R6" s="3296" t="s">
        <v>3028</v>
      </c>
      <c r="S6" s="3281"/>
      <c r="T6" s="3281" t="s">
        <v>3029</v>
      </c>
      <c r="U6" s="3281"/>
      <c r="V6" s="3287"/>
    </row>
    <row r="7" spans="1:22" s="3291" customFormat="1" ht="13.15" customHeight="1">
      <c r="A7" s="3314" t="s">
        <v>3030</v>
      </c>
      <c r="B7" s="3315"/>
      <c r="C7" s="3316"/>
      <c r="D7" s="3317">
        <f>SUM(D9,D10,D11,D17,0)</f>
        <v>0</v>
      </c>
      <c r="E7" s="3318" t="e">
        <f>E9+E10+E11+E17</f>
        <v>#DIV/0!</v>
      </c>
      <c r="F7" s="3319"/>
      <c r="G7" s="3320"/>
      <c r="H7" s="3286"/>
      <c r="I7" s="3287"/>
      <c r="J7" s="3723"/>
      <c r="K7" s="3725"/>
      <c r="L7" s="3321" t="s">
        <v>3031</v>
      </c>
      <c r="M7" s="3322"/>
      <c r="N7" s="3298"/>
      <c r="O7" s="3323"/>
      <c r="P7" s="3323"/>
      <c r="Q7" s="3324">
        <v>365</v>
      </c>
      <c r="R7" s="3325">
        <f>ROUND(M7*N7*O7*P7*Q7/10000,0)</f>
        <v>0</v>
      </c>
      <c r="S7" s="3281"/>
      <c r="T7" s="3281" t="s">
        <v>3032</v>
      </c>
      <c r="U7" s="3281"/>
      <c r="V7" s="3287"/>
    </row>
    <row r="8" spans="1:22" s="3291" customFormat="1" ht="13.15" customHeight="1">
      <c r="A8" s="3326" t="s">
        <v>3033</v>
      </c>
      <c r="B8" s="3740" t="s">
        <v>3034</v>
      </c>
      <c r="C8" s="3741"/>
      <c r="D8" s="3327" t="s">
        <v>3035</v>
      </c>
      <c r="E8" s="3328" t="s">
        <v>3036</v>
      </c>
      <c r="F8" s="3329" t="s">
        <v>3037</v>
      </c>
      <c r="G8" s="3330"/>
      <c r="H8" s="3286"/>
      <c r="I8" s="3287"/>
      <c r="J8" s="3723"/>
      <c r="K8" s="3725"/>
      <c r="L8" s="3321" t="s">
        <v>3038</v>
      </c>
      <c r="M8" s="3322"/>
      <c r="N8" s="3298"/>
      <c r="O8" s="3323"/>
      <c r="P8" s="3323"/>
      <c r="Q8" s="3324">
        <v>365</v>
      </c>
      <c r="R8" s="3325">
        <f t="shared" ref="R8:R13" si="0">ROUND(M8*N8*O8*P8*Q8/10000,0)</f>
        <v>0</v>
      </c>
      <c r="S8" s="3281"/>
      <c r="T8" s="3281" t="s">
        <v>3039</v>
      </c>
      <c r="U8" s="3281"/>
      <c r="V8" s="3287"/>
    </row>
    <row r="9" spans="1:22" s="3291" customFormat="1" ht="13.15" customHeight="1">
      <c r="A9" s="3326">
        <v>1</v>
      </c>
      <c r="B9" s="3740" t="s">
        <v>3040</v>
      </c>
      <c r="C9" s="3741"/>
      <c r="D9" s="3327">
        <f>ROUND(D6*E9,0)</f>
        <v>0</v>
      </c>
      <c r="E9" s="3331"/>
      <c r="F9" s="3332" t="s">
        <v>3041</v>
      </c>
      <c r="G9" s="3311"/>
      <c r="H9" s="3286"/>
      <c r="I9" s="3287"/>
      <c r="J9" s="3723"/>
      <c r="K9" s="3725"/>
      <c r="L9" s="3321" t="s">
        <v>3042</v>
      </c>
      <c r="M9" s="3322"/>
      <c r="N9" s="3298"/>
      <c r="O9" s="3323"/>
      <c r="P9" s="3323"/>
      <c r="Q9" s="3324">
        <v>365</v>
      </c>
      <c r="R9" s="3325">
        <f t="shared" si="0"/>
        <v>0</v>
      </c>
      <c r="S9" s="3281"/>
      <c r="T9" s="3281"/>
      <c r="U9" s="3281"/>
      <c r="V9" s="3287"/>
    </row>
    <row r="10" spans="1:22" s="3291" customFormat="1" ht="13.15" customHeight="1">
      <c r="A10" s="3326">
        <v>2</v>
      </c>
      <c r="B10" s="3740" t="s">
        <v>3043</v>
      </c>
      <c r="C10" s="3741"/>
      <c r="D10" s="3327">
        <f>ROUND(D6*E10,0)</f>
        <v>0</v>
      </c>
      <c r="E10" s="3331"/>
      <c r="F10" s="3332" t="s">
        <v>3044</v>
      </c>
      <c r="G10" s="3311"/>
      <c r="H10" s="3286"/>
      <c r="I10" s="3287"/>
      <c r="J10" s="3723"/>
      <c r="K10" s="3725"/>
      <c r="L10" s="3321" t="s">
        <v>3045</v>
      </c>
      <c r="M10" s="3322"/>
      <c r="N10" s="3298"/>
      <c r="O10" s="3323"/>
      <c r="P10" s="3323"/>
      <c r="Q10" s="3324">
        <v>365</v>
      </c>
      <c r="R10" s="3325">
        <f t="shared" si="0"/>
        <v>0</v>
      </c>
      <c r="S10" s="3281"/>
      <c r="T10" s="3281"/>
      <c r="U10" s="3281"/>
      <c r="V10" s="3287"/>
    </row>
    <row r="11" spans="1:22" s="3291" customFormat="1" ht="13.15" customHeight="1">
      <c r="A11" s="3326">
        <v>3</v>
      </c>
      <c r="B11" s="3740" t="s">
        <v>3046</v>
      </c>
      <c r="C11" s="3741"/>
      <c r="D11" s="3327">
        <f>D12+D14+D15+D16</f>
        <v>0</v>
      </c>
      <c r="E11" s="3333" t="e">
        <f>D11/D6</f>
        <v>#DIV/0!</v>
      </c>
      <c r="F11" s="3329"/>
      <c r="G11" s="3330"/>
      <c r="H11" s="3286"/>
      <c r="I11" s="3287"/>
      <c r="J11" s="3723"/>
      <c r="K11" s="3725"/>
      <c r="L11" s="3321" t="s">
        <v>3047</v>
      </c>
      <c r="M11" s="3322"/>
      <c r="N11" s="3298"/>
      <c r="O11" s="3323"/>
      <c r="P11" s="3323"/>
      <c r="Q11" s="3324">
        <v>365</v>
      </c>
      <c r="R11" s="3325">
        <f t="shared" si="0"/>
        <v>0</v>
      </c>
      <c r="S11" s="3281"/>
      <c r="T11" s="3281"/>
      <c r="U11" s="3281"/>
      <c r="V11" s="3287"/>
    </row>
    <row r="12" spans="1:22" s="3291" customFormat="1" ht="13.15" customHeight="1">
      <c r="A12" s="3334" t="s">
        <v>3048</v>
      </c>
      <c r="B12" s="3733" t="s">
        <v>3049</v>
      </c>
      <c r="C12" s="3734"/>
      <c r="D12" s="3335">
        <f>ROUND(D13*1.2%*(1-30%),0)</f>
        <v>0</v>
      </c>
      <c r="E12" s="3336">
        <v>1.2E-2</v>
      </c>
      <c r="F12" s="3329" t="s">
        <v>3050</v>
      </c>
      <c r="G12" s="3330"/>
      <c r="H12" s="3286"/>
      <c r="I12" s="3287"/>
      <c r="J12" s="3723"/>
      <c r="K12" s="3725"/>
      <c r="L12" s="3321" t="s">
        <v>3051</v>
      </c>
      <c r="M12" s="3322"/>
      <c r="N12" s="3298"/>
      <c r="O12" s="3323"/>
      <c r="P12" s="3323"/>
      <c r="Q12" s="3324">
        <v>365</v>
      </c>
      <c r="R12" s="3325">
        <f t="shared" si="0"/>
        <v>0</v>
      </c>
      <c r="S12" s="3281"/>
      <c r="T12" s="3281"/>
      <c r="U12" s="3281"/>
      <c r="V12" s="3287"/>
    </row>
    <row r="13" spans="1:22" s="3291" customFormat="1" ht="13.15" customHeight="1">
      <c r="A13" s="3334"/>
      <c r="B13" s="3337"/>
      <c r="C13" s="3338" t="s">
        <v>3052</v>
      </c>
      <c r="D13" s="3339"/>
      <c r="E13" s="3340"/>
      <c r="F13" s="3329"/>
      <c r="G13" s="3330"/>
      <c r="H13" s="3286"/>
      <c r="I13" s="3287"/>
      <c r="J13" s="3723"/>
      <c r="K13" s="3725"/>
      <c r="L13" s="3321" t="s">
        <v>3053</v>
      </c>
      <c r="M13" s="3322"/>
      <c r="N13" s="3298"/>
      <c r="O13" s="3323"/>
      <c r="P13" s="3323"/>
      <c r="Q13" s="3324">
        <v>365</v>
      </c>
      <c r="R13" s="3325">
        <f t="shared" si="0"/>
        <v>0</v>
      </c>
      <c r="S13" s="3281"/>
      <c r="T13" s="3281"/>
      <c r="U13" s="3281"/>
      <c r="V13" s="3287"/>
    </row>
    <row r="14" spans="1:22" s="3291" customFormat="1" ht="13.15" customHeight="1">
      <c r="A14" s="3334" t="s">
        <v>3054</v>
      </c>
      <c r="B14" s="3733" t="s">
        <v>3055</v>
      </c>
      <c r="C14" s="3734"/>
      <c r="D14" s="3335">
        <f>ROUND(E14*B5/10000,0)</f>
        <v>0</v>
      </c>
      <c r="E14" s="3324"/>
      <c r="F14" s="3329" t="s">
        <v>3056</v>
      </c>
      <c r="G14" s="3330"/>
      <c r="H14" s="3286"/>
      <c r="I14" s="3287"/>
      <c r="J14" s="3723"/>
      <c r="K14" s="3726"/>
      <c r="L14" s="3341" t="s">
        <v>3057</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3058</v>
      </c>
      <c r="B15" s="3733" t="s">
        <v>3059</v>
      </c>
      <c r="C15" s="3734"/>
      <c r="D15" s="3335">
        <f>ROUND(D6*E15,0)</f>
        <v>0</v>
      </c>
      <c r="E15" s="3336">
        <v>5.5E-2</v>
      </c>
      <c r="F15" s="3329" t="s">
        <v>3060</v>
      </c>
      <c r="G15" s="3311"/>
      <c r="H15" s="3286"/>
      <c r="I15" s="3287"/>
      <c r="J15" s="3723">
        <v>2</v>
      </c>
      <c r="K15" s="3724" t="s">
        <v>3061</v>
      </c>
      <c r="L15" s="3321" t="s">
        <v>3062</v>
      </c>
      <c r="M15" s="3322" t="s">
        <v>3063</v>
      </c>
      <c r="N15" s="3322" t="s">
        <v>3064</v>
      </c>
      <c r="O15" s="3323" t="s">
        <v>3065</v>
      </c>
      <c r="P15" s="3323" t="s">
        <v>3027</v>
      </c>
      <c r="Q15" s="3298" t="s">
        <v>3066</v>
      </c>
      <c r="R15" s="3345" t="s">
        <v>3028</v>
      </c>
      <c r="S15" s="3281"/>
      <c r="T15" s="3281"/>
      <c r="U15" s="3281"/>
      <c r="V15" s="3287"/>
    </row>
    <row r="16" spans="1:22" s="3291" customFormat="1" ht="13.15" customHeight="1">
      <c r="A16" s="3334" t="s">
        <v>3067</v>
      </c>
      <c r="B16" s="3733" t="s">
        <v>3068</v>
      </c>
      <c r="C16" s="3734"/>
      <c r="D16" s="3346">
        <f>D6*E16</f>
        <v>0</v>
      </c>
      <c r="E16" s="3347"/>
      <c r="F16" s="3332" t="s">
        <v>3069</v>
      </c>
      <c r="G16" s="3311"/>
      <c r="H16" s="3286"/>
      <c r="I16" s="3287"/>
      <c r="J16" s="3723"/>
      <c r="K16" s="3725"/>
      <c r="L16" s="3321" t="s">
        <v>3070</v>
      </c>
      <c r="M16" s="3322"/>
      <c r="N16" s="3322"/>
      <c r="O16" s="3323"/>
      <c r="P16" s="3324">
        <v>365</v>
      </c>
      <c r="Q16" s="3298"/>
      <c r="R16" s="3345">
        <f>ROUND(M16*N16*O16*P16/10000,0)</f>
        <v>0</v>
      </c>
      <c r="S16" s="3281"/>
      <c r="T16" s="3281"/>
      <c r="U16" s="3281"/>
      <c r="V16" s="3287"/>
    </row>
    <row r="17" spans="1:22" s="3291" customFormat="1" ht="13.15" customHeight="1" thickBot="1">
      <c r="A17" s="3348">
        <v>4</v>
      </c>
      <c r="B17" s="3735" t="s">
        <v>3071</v>
      </c>
      <c r="C17" s="3736"/>
      <c r="D17" s="3349">
        <f>ROUND(D6*E17,0)</f>
        <v>0</v>
      </c>
      <c r="E17" s="3350"/>
      <c r="F17" s="3351" t="s">
        <v>3072</v>
      </c>
      <c r="G17" s="3311"/>
      <c r="H17" s="3286"/>
      <c r="I17" s="3287"/>
      <c r="J17" s="3723"/>
      <c r="K17" s="3725"/>
      <c r="L17" s="3321" t="s">
        <v>3073</v>
      </c>
      <c r="M17" s="3322"/>
      <c r="N17" s="3322"/>
      <c r="O17" s="3323"/>
      <c r="P17" s="3324">
        <v>365</v>
      </c>
      <c r="Q17" s="3298"/>
      <c r="R17" s="3345">
        <f>ROUND(M17*N17*O17*P17/10000,0)</f>
        <v>0</v>
      </c>
      <c r="S17" s="3281"/>
      <c r="T17" s="3281"/>
      <c r="U17" s="3281"/>
      <c r="V17" s="3287"/>
    </row>
    <row r="18" spans="1:22" s="3291" customFormat="1" ht="13.15" customHeight="1" thickBot="1">
      <c r="A18" s="3314" t="s">
        <v>3074</v>
      </c>
      <c r="B18" s="3315"/>
      <c r="C18" s="3315"/>
      <c r="D18" s="3352">
        <f>ROUND(D6*E18,0)</f>
        <v>0</v>
      </c>
      <c r="E18" s="3353"/>
      <c r="F18" s="3354" t="s">
        <v>3075</v>
      </c>
      <c r="G18" s="3311"/>
      <c r="H18" s="3286"/>
      <c r="I18" s="3287"/>
      <c r="J18" s="3723"/>
      <c r="K18" s="3725"/>
      <c r="L18" s="3321" t="s">
        <v>3076</v>
      </c>
      <c r="M18" s="3322"/>
      <c r="N18" s="3322"/>
      <c r="O18" s="3323"/>
      <c r="P18" s="3324">
        <v>365</v>
      </c>
      <c r="Q18" s="3298"/>
      <c r="R18" s="3345">
        <f>ROUND(M18*N18*O18*P18/10000,0)</f>
        <v>0</v>
      </c>
      <c r="S18" s="3281"/>
      <c r="T18" s="3281"/>
      <c r="U18" s="3281"/>
      <c r="V18" s="3287"/>
    </row>
    <row r="19" spans="1:22" s="3291" customFormat="1" ht="13.15" customHeight="1" thickBot="1">
      <c r="A19" s="3355" t="s">
        <v>3077</v>
      </c>
      <c r="B19" s="3309"/>
      <c r="C19" s="3309"/>
      <c r="D19" s="3309"/>
      <c r="E19" s="3309"/>
      <c r="F19" s="3310"/>
      <c r="G19" s="3330"/>
      <c r="H19" s="3286"/>
      <c r="I19" s="3287"/>
      <c r="J19" s="3723"/>
      <c r="K19" s="3726"/>
      <c r="L19" s="3341" t="s">
        <v>3057</v>
      </c>
      <c r="M19" s="3342"/>
      <c r="N19" s="3342">
        <f>SUM(N16:N18)</f>
        <v>0</v>
      </c>
      <c r="O19" s="3343"/>
      <c r="P19" s="3356" t="s">
        <v>3078</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23">
        <v>3</v>
      </c>
      <c r="K20" s="3724" t="s">
        <v>3079</v>
      </c>
      <c r="L20" s="3321" t="s">
        <v>3080</v>
      </c>
      <c r="M20" s="3322" t="s">
        <v>3081</v>
      </c>
      <c r="N20" s="3359" t="s">
        <v>3082</v>
      </c>
      <c r="O20" s="3323" t="s">
        <v>3083</v>
      </c>
      <c r="P20" s="3324" t="s">
        <v>3084</v>
      </c>
      <c r="Q20" s="3298" t="s">
        <v>3085</v>
      </c>
      <c r="R20" s="3345" t="s">
        <v>3086</v>
      </c>
      <c r="S20" s="3360"/>
      <c r="T20" s="3360"/>
      <c r="U20" s="3360"/>
      <c r="V20" s="3287"/>
    </row>
    <row r="21" spans="1:22" s="3291" customFormat="1" ht="13.15" customHeight="1">
      <c r="A21" s="3314"/>
      <c r="B21" s="3315"/>
      <c r="C21" s="3361" t="s">
        <v>3087</v>
      </c>
      <c r="D21" s="3362" t="s">
        <v>3088</v>
      </c>
      <c r="E21" s="3363" t="s">
        <v>3089</v>
      </c>
      <c r="F21" s="3358"/>
      <c r="G21" s="3330"/>
      <c r="H21" s="3286"/>
      <c r="I21" s="3287"/>
      <c r="J21" s="3723"/>
      <c r="K21" s="3725"/>
      <c r="L21" s="3321" t="s">
        <v>3090</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3091</v>
      </c>
      <c r="D22" s="3366" t="s">
        <v>3092</v>
      </c>
      <c r="E22" s="3367" t="s">
        <v>3093</v>
      </c>
      <c r="F22" s="3358"/>
      <c r="G22" s="3368"/>
      <c r="H22" s="3286"/>
      <c r="I22" s="3287"/>
      <c r="J22" s="3723"/>
      <c r="K22" s="3725"/>
      <c r="L22" s="3321" t="s">
        <v>3094</v>
      </c>
      <c r="M22" s="3322"/>
      <c r="N22" s="3322"/>
      <c r="O22" s="3323"/>
      <c r="P22" s="3324">
        <v>365</v>
      </c>
      <c r="Q22" s="3298"/>
      <c r="R22" s="3364">
        <f>ROUND(M22*N22*O22*P22/10000,0)</f>
        <v>0</v>
      </c>
      <c r="S22" s="3360"/>
      <c r="T22" s="3360"/>
      <c r="U22" s="3360"/>
      <c r="V22" s="3287"/>
    </row>
    <row r="23" spans="1:22" s="3291" customFormat="1" ht="13.15" customHeight="1">
      <c r="A23" s="3369">
        <v>1</v>
      </c>
      <c r="B23" s="3370" t="s">
        <v>3095</v>
      </c>
      <c r="C23" s="3371">
        <f>D6</f>
        <v>0</v>
      </c>
      <c r="D23" s="3372">
        <f>C23*(1+D24)</f>
        <v>0</v>
      </c>
      <c r="E23" s="3373">
        <f>D23*(1+E24)</f>
        <v>0</v>
      </c>
      <c r="F23" s="3374"/>
      <c r="G23" s="3375"/>
      <c r="H23" s="3286"/>
      <c r="I23" s="3287"/>
      <c r="J23" s="3723"/>
      <c r="K23" s="3725"/>
      <c r="L23" s="3321" t="s">
        <v>3096</v>
      </c>
      <c r="M23" s="3322"/>
      <c r="N23" s="3322"/>
      <c r="O23" s="3323"/>
      <c r="P23" s="3324">
        <v>365</v>
      </c>
      <c r="Q23" s="3298"/>
      <c r="R23" s="3364">
        <f>ROUND(M23*N23*O23*P23/10000,0)</f>
        <v>0</v>
      </c>
      <c r="S23" s="3281"/>
      <c r="T23" s="3281"/>
      <c r="U23" s="3281"/>
      <c r="V23" s="3287"/>
    </row>
    <row r="24" spans="1:22" s="3291" customFormat="1" ht="13.15" customHeight="1">
      <c r="A24" s="3376"/>
      <c r="B24" s="3377" t="s">
        <v>3097</v>
      </c>
      <c r="C24" s="3378"/>
      <c r="D24" s="3379"/>
      <c r="E24" s="3380"/>
      <c r="F24" s="3381"/>
      <c r="G24" s="3375"/>
      <c r="H24" s="3286"/>
      <c r="I24" s="3287"/>
      <c r="J24" s="3723"/>
      <c r="K24" s="3726"/>
      <c r="L24" s="3341" t="s">
        <v>3057</v>
      </c>
      <c r="M24" s="3342">
        <f>SUM(M21:M23)</f>
        <v>0</v>
      </c>
      <c r="N24" s="3342"/>
      <c r="O24" s="3343"/>
      <c r="P24" s="3356" t="s">
        <v>3078</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3098</v>
      </c>
      <c r="L25" s="3384"/>
      <c r="M25" s="3384"/>
      <c r="N25" s="3384"/>
      <c r="O25" s="3384"/>
      <c r="P25" s="3385"/>
      <c r="Q25" s="3386"/>
      <c r="R25" s="3357">
        <f>ROUND(R14*Q25,0)</f>
        <v>0</v>
      </c>
      <c r="S25" s="3281"/>
      <c r="T25" s="3281"/>
      <c r="U25" s="3281"/>
      <c r="V25" s="3387"/>
    </row>
    <row r="26" spans="1:22" s="3388" customFormat="1" ht="13.15" customHeight="1">
      <c r="A26" s="3369">
        <v>2</v>
      </c>
      <c r="B26" s="3370" t="s">
        <v>3099</v>
      </c>
      <c r="C26" s="3371">
        <f>D7</f>
        <v>0</v>
      </c>
      <c r="D26" s="3372">
        <f>D23*D27</f>
        <v>0</v>
      </c>
      <c r="E26" s="3373">
        <f>E23*E27</f>
        <v>0</v>
      </c>
      <c r="F26" s="3374"/>
      <c r="G26" s="3375"/>
      <c r="H26" s="3286"/>
      <c r="I26" s="3287"/>
      <c r="J26" s="3727">
        <v>5</v>
      </c>
      <c r="K26" s="3389" t="s">
        <v>3100</v>
      </c>
      <c r="L26" s="3390"/>
      <c r="M26" s="3391"/>
      <c r="N26" s="3392" t="s">
        <v>3101</v>
      </c>
      <c r="O26" s="3392" t="s">
        <v>3102</v>
      </c>
      <c r="P26" s="3393" t="s">
        <v>3103</v>
      </c>
      <c r="Q26" s="3393" t="s">
        <v>3104</v>
      </c>
      <c r="R26" s="3296" t="s">
        <v>3028</v>
      </c>
      <c r="S26" s="3394"/>
      <c r="T26" s="3394"/>
      <c r="U26" s="3394"/>
      <c r="V26" s="3387"/>
    </row>
    <row r="27" spans="1:22" s="3291" customFormat="1" ht="13.15" customHeight="1">
      <c r="A27" s="3376"/>
      <c r="B27" s="3377" t="s">
        <v>3105</v>
      </c>
      <c r="C27" s="3395" t="e">
        <f>E7</f>
        <v>#DIV/0!</v>
      </c>
      <c r="D27" s="3379"/>
      <c r="E27" s="3380"/>
      <c r="F27" s="3381"/>
      <c r="G27" s="3375"/>
      <c r="H27" s="3396"/>
      <c r="I27" s="3387"/>
      <c r="J27" s="3728"/>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3106</v>
      </c>
      <c r="F28" s="3381"/>
      <c r="G28" s="3368"/>
      <c r="H28" s="3396"/>
      <c r="I28" s="3387"/>
      <c r="J28" s="3402">
        <v>6</v>
      </c>
      <c r="K28" s="3403" t="s">
        <v>3107</v>
      </c>
      <c r="L28" s="3404" t="s">
        <v>3108</v>
      </c>
      <c r="M28" s="3405"/>
      <c r="N28" s="3404" t="s">
        <v>3109</v>
      </c>
      <c r="O28" s="3406"/>
      <c r="P28" s="3404" t="s">
        <v>3110</v>
      </c>
      <c r="Q28" s="3407">
        <v>1.4999999999999999E-2</v>
      </c>
      <c r="R28" s="3408"/>
      <c r="S28" s="3360"/>
      <c r="T28" s="3360"/>
      <c r="U28" s="3360"/>
      <c r="V28" s="3387"/>
    </row>
    <row r="29" spans="1:22" s="3388" customFormat="1" ht="13.15" customHeight="1">
      <c r="A29" s="3369">
        <v>3</v>
      </c>
      <c r="B29" s="3370" t="s">
        <v>3111</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3105</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3112</v>
      </c>
      <c r="K31" s="3279"/>
      <c r="L31" s="3279"/>
      <c r="M31" s="3279"/>
      <c r="N31" s="3279"/>
      <c r="O31" s="3279"/>
      <c r="P31" s="3279"/>
      <c r="Q31" s="3279"/>
      <c r="R31" s="3280"/>
      <c r="S31" s="3360"/>
      <c r="T31" s="3281"/>
      <c r="U31" s="3281"/>
      <c r="V31" s="3387"/>
    </row>
    <row r="32" spans="1:22" s="3388" customFormat="1" ht="13.15" customHeight="1">
      <c r="A32" s="3369">
        <v>4</v>
      </c>
      <c r="B32" s="3370" t="s">
        <v>3113</v>
      </c>
      <c r="C32" s="3371">
        <f>C23-C26-C29</f>
        <v>0</v>
      </c>
      <c r="D32" s="3372">
        <f>D23-D26-D29</f>
        <v>0</v>
      </c>
      <c r="E32" s="3373">
        <f>E23-E26-E29</f>
        <v>0</v>
      </c>
      <c r="F32" s="3374"/>
      <c r="G32" s="3368"/>
      <c r="H32" s="3286"/>
      <c r="I32" s="3287"/>
      <c r="J32" s="3729" t="s">
        <v>3004</v>
      </c>
      <c r="K32" s="3730"/>
      <c r="L32" s="3288" t="s">
        <v>3005</v>
      </c>
      <c r="M32" s="3288" t="s">
        <v>3006</v>
      </c>
      <c r="N32" s="3288" t="s">
        <v>3007</v>
      </c>
      <c r="O32" s="3288" t="s">
        <v>3008</v>
      </c>
      <c r="P32" s="3288" t="s">
        <v>3009</v>
      </c>
      <c r="Q32" s="3289" t="s">
        <v>3010</v>
      </c>
      <c r="R32" s="3411" t="s">
        <v>3011</v>
      </c>
      <c r="S32" s="3360"/>
      <c r="T32" s="3281"/>
      <c r="U32" s="3281"/>
      <c r="V32" s="3387"/>
    </row>
    <row r="33" spans="1:23" s="3291" customFormat="1" ht="13.15" customHeight="1">
      <c r="A33" s="3369"/>
      <c r="B33" s="3370"/>
      <c r="C33" s="3371"/>
      <c r="D33" s="3412"/>
      <c r="E33" s="3413"/>
      <c r="F33" s="3374"/>
      <c r="G33" s="3368"/>
      <c r="H33" s="3396"/>
      <c r="I33" s="3387"/>
      <c r="J33" s="3731" t="s">
        <v>3014</v>
      </c>
      <c r="K33" s="3732"/>
      <c r="L33" s="3294"/>
      <c r="M33" s="3294"/>
      <c r="N33" s="3294"/>
      <c r="O33" s="3294"/>
      <c r="P33" s="3294"/>
      <c r="Q33" s="3295"/>
      <c r="R33" s="3414">
        <f>SUM(L33:Q33)</f>
        <v>0</v>
      </c>
      <c r="S33" s="3360"/>
      <c r="T33" s="3281"/>
      <c r="U33" s="3281"/>
      <c r="V33" s="3287"/>
    </row>
    <row r="34" spans="1:23" s="3291" customFormat="1" ht="13.15" customHeight="1">
      <c r="A34" s="3369">
        <v>5</v>
      </c>
      <c r="B34" s="3370" t="s">
        <v>3114</v>
      </c>
      <c r="C34" s="3415"/>
      <c r="D34" s="3416"/>
      <c r="E34" s="3417"/>
      <c r="F34" s="3374"/>
      <c r="G34" s="3368"/>
      <c r="H34" s="3396"/>
      <c r="I34" s="3387"/>
      <c r="J34" s="3731" t="s">
        <v>3016</v>
      </c>
      <c r="K34" s="3732"/>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3115</v>
      </c>
      <c r="C35" s="3419"/>
      <c r="D35" s="3420"/>
      <c r="E35" s="3421"/>
      <c r="F35" s="3374"/>
      <c r="G35" s="3422"/>
      <c r="H35" s="3286"/>
      <c r="I35" s="3387"/>
      <c r="J35" s="3305" t="s">
        <v>3018</v>
      </c>
      <c r="K35" s="3306"/>
      <c r="L35" s="3306"/>
      <c r="M35" s="3307"/>
      <c r="N35" s="3307"/>
      <c r="O35" s="3307"/>
      <c r="P35" s="3307"/>
      <c r="Q35" s="3307"/>
      <c r="R35" s="3423">
        <f>R40+R41+R43</f>
        <v>0</v>
      </c>
      <c r="S35" s="3360"/>
      <c r="T35" s="3281" t="s">
        <v>3019</v>
      </c>
      <c r="U35" s="3281"/>
      <c r="V35" s="3287"/>
    </row>
    <row r="36" spans="1:23" s="3291" customFormat="1" ht="13.15" customHeight="1" thickBot="1">
      <c r="A36" s="3369">
        <v>7</v>
      </c>
      <c r="B36" s="3424" t="s">
        <v>3116</v>
      </c>
      <c r="C36" s="3425"/>
      <c r="D36" s="3426"/>
      <c r="E36" s="3427"/>
      <c r="F36" s="3428">
        <f>C36+D36+E36</f>
        <v>0</v>
      </c>
      <c r="G36" s="3368"/>
      <c r="H36" s="3286"/>
      <c r="I36" s="3287"/>
      <c r="J36" s="3723">
        <v>1</v>
      </c>
      <c r="K36" s="3724" t="s">
        <v>3117</v>
      </c>
      <c r="L36" s="3312"/>
      <c r="M36" s="3313"/>
      <c r="N36" s="3313"/>
      <c r="O36" s="3313"/>
      <c r="P36" s="3313"/>
      <c r="Q36" s="3313"/>
      <c r="R36" s="3296" t="s">
        <v>3028</v>
      </c>
      <c r="S36" s="3360"/>
      <c r="T36" s="3281" t="s">
        <v>3029</v>
      </c>
      <c r="U36" s="3281"/>
      <c r="V36" s="3287"/>
    </row>
    <row r="37" spans="1:23" s="3291" customFormat="1" ht="13.15" customHeight="1">
      <c r="A37" s="3369"/>
      <c r="B37" s="3370"/>
      <c r="C37" s="3370"/>
      <c r="D37" s="3370"/>
      <c r="E37" s="3370"/>
      <c r="F37" s="3374"/>
      <c r="G37" s="3368"/>
      <c r="H37" s="3286"/>
      <c r="I37" s="3287"/>
      <c r="J37" s="3723"/>
      <c r="K37" s="3725"/>
      <c r="L37" s="3321"/>
      <c r="M37" s="3322"/>
      <c r="N37" s="3298"/>
      <c r="O37" s="3323"/>
      <c r="P37" s="3323"/>
      <c r="Q37" s="3324"/>
      <c r="R37" s="3325"/>
      <c r="S37" s="3360"/>
      <c r="T37" s="3281" t="s">
        <v>3032</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23"/>
      <c r="K38" s="3725"/>
      <c r="L38" s="3321"/>
      <c r="M38" s="3322"/>
      <c r="N38" s="3298"/>
      <c r="O38" s="3323"/>
      <c r="P38" s="3323"/>
      <c r="Q38" s="3324"/>
      <c r="R38" s="3325"/>
      <c r="S38" s="3360"/>
      <c r="T38" s="3281" t="s">
        <v>3039</v>
      </c>
      <c r="U38" s="3281"/>
      <c r="V38" s="3287"/>
    </row>
    <row r="39" spans="1:23" s="3291" customFormat="1" ht="13.15" customHeight="1">
      <c r="A39" s="3369">
        <v>9</v>
      </c>
      <c r="B39" s="3370" t="s">
        <v>3118</v>
      </c>
      <c r="C39" s="3335" t="e">
        <f>C38</f>
        <v>#DIV/0!</v>
      </c>
      <c r="D39" s="3370">
        <f>D38/(1+D34)^C36</f>
        <v>0</v>
      </c>
      <c r="E39" s="3370">
        <f>E38/(1+E34)^(C36+D36)</f>
        <v>0</v>
      </c>
      <c r="F39" s="3374"/>
      <c r="G39" s="3429"/>
      <c r="H39" s="3286"/>
      <c r="I39" s="3287"/>
      <c r="J39" s="3723"/>
      <c r="K39" s="3725"/>
      <c r="L39" s="3321"/>
      <c r="M39" s="3322"/>
      <c r="N39" s="3298"/>
      <c r="O39" s="3323"/>
      <c r="P39" s="3323"/>
      <c r="Q39" s="3324"/>
      <c r="R39" s="3325"/>
      <c r="S39" s="3360"/>
      <c r="T39" s="3281"/>
      <c r="U39" s="3281"/>
      <c r="V39" s="3287"/>
    </row>
    <row r="40" spans="1:23" s="3291" customFormat="1" ht="13.15" customHeight="1">
      <c r="A40" s="3430">
        <v>10</v>
      </c>
      <c r="B40" s="3370" t="s">
        <v>3119</v>
      </c>
      <c r="C40" s="3431" t="e">
        <f>C39+D39+E39</f>
        <v>#DIV/0!</v>
      </c>
      <c r="D40" s="3432"/>
      <c r="E40" s="3432"/>
      <c r="F40" s="3433"/>
      <c r="G40" s="3368"/>
      <c r="H40" s="3286"/>
      <c r="I40" s="3287"/>
      <c r="J40" s="3723"/>
      <c r="K40" s="3726"/>
      <c r="L40" s="3341" t="s">
        <v>3057</v>
      </c>
      <c r="M40" s="3342"/>
      <c r="N40" s="3342"/>
      <c r="O40" s="3343"/>
      <c r="P40" s="3343"/>
      <c r="Q40" s="3344"/>
      <c r="R40" s="3290">
        <f>SUM(R37:R39)</f>
        <v>0</v>
      </c>
      <c r="S40" s="3360"/>
      <c r="T40" s="3281"/>
      <c r="U40" s="3281"/>
      <c r="V40" s="3287"/>
    </row>
    <row r="41" spans="1:23" s="3291" customFormat="1" ht="13.15" customHeight="1" thickBot="1">
      <c r="A41" s="3434">
        <v>11</v>
      </c>
      <c r="B41" s="3435" t="s">
        <v>3120</v>
      </c>
      <c r="C41" s="3435" t="e">
        <f>ROUND(C40*10000/B4,0)</f>
        <v>#DIV/0!</v>
      </c>
      <c r="D41" s="3436"/>
      <c r="E41" s="3436"/>
      <c r="F41" s="3437"/>
      <c r="G41" s="3438"/>
      <c r="H41" s="3286"/>
      <c r="I41" s="3287"/>
      <c r="J41" s="3382">
        <v>2</v>
      </c>
      <c r="K41" s="3383" t="s">
        <v>3098</v>
      </c>
      <c r="L41" s="3384"/>
      <c r="M41" s="3384"/>
      <c r="N41" s="3384"/>
      <c r="O41" s="3384"/>
      <c r="P41" s="3385"/>
      <c r="Q41" s="3386"/>
      <c r="R41" s="3357">
        <f>ROUND(R40*Q41,0)</f>
        <v>0</v>
      </c>
      <c r="S41" s="3360"/>
      <c r="T41" s="3281"/>
      <c r="U41" s="3394"/>
      <c r="V41" s="3287"/>
    </row>
    <row r="42" spans="1:23" s="3291" customFormat="1" ht="13.15" customHeight="1">
      <c r="G42" s="3438"/>
      <c r="H42" s="3286"/>
      <c r="I42" s="3287"/>
      <c r="J42" s="3727">
        <v>3</v>
      </c>
      <c r="K42" s="3389" t="s">
        <v>3100</v>
      </c>
      <c r="L42" s="3390"/>
      <c r="M42" s="3391"/>
      <c r="N42" s="3392" t="s">
        <v>3101</v>
      </c>
      <c r="O42" s="3392" t="s">
        <v>3102</v>
      </c>
      <c r="P42" s="3393" t="s">
        <v>3103</v>
      </c>
      <c r="Q42" s="3393" t="s">
        <v>3104</v>
      </c>
      <c r="R42" s="3296" t="s">
        <v>3028</v>
      </c>
      <c r="S42" s="3394"/>
      <c r="T42" s="3394"/>
      <c r="U42" s="3281"/>
      <c r="V42" s="3287"/>
    </row>
    <row r="43" spans="1:23" ht="13.15" customHeight="1">
      <c r="A43" s="3291"/>
      <c r="B43" s="3291"/>
      <c r="C43" s="3291"/>
      <c r="D43" s="3291"/>
      <c r="E43" s="3291"/>
      <c r="F43" s="3291"/>
      <c r="I43" s="3276"/>
      <c r="J43" s="3728"/>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3107</v>
      </c>
      <c r="L44" s="3442" t="s">
        <v>3108</v>
      </c>
      <c r="M44" s="3405"/>
      <c r="N44" s="3442" t="s">
        <v>3109</v>
      </c>
      <c r="O44" s="3405"/>
      <c r="P44" s="3442" t="s">
        <v>3110</v>
      </c>
      <c r="Q44" s="3407">
        <v>1.4999999999999999E-2</v>
      </c>
      <c r="R44" s="34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42" t="s">
        <v>2424</v>
      </c>
      <c r="B1" s="3743"/>
      <c r="C1" s="3744"/>
      <c r="D1" s="3745">
        <f>SUM(I10,I15,I20,I21,I23)</f>
        <v>0</v>
      </c>
      <c r="E1" s="3745"/>
      <c r="F1" s="3745"/>
      <c r="G1" s="3745"/>
      <c r="H1" s="3745"/>
      <c r="I1" s="3746"/>
    </row>
    <row r="2" spans="1:9">
      <c r="A2" s="3747" t="s">
        <v>2425</v>
      </c>
      <c r="B2" s="3748" t="s">
        <v>2426</v>
      </c>
      <c r="C2" s="3748"/>
      <c r="D2" s="2329" t="s">
        <v>2427</v>
      </c>
      <c r="E2" s="2329" t="s">
        <v>2428</v>
      </c>
      <c r="F2" s="2329" t="s">
        <v>2429</v>
      </c>
      <c r="G2" s="2329" t="s">
        <v>2430</v>
      </c>
      <c r="H2" s="2329" t="s">
        <v>2431</v>
      </c>
      <c r="I2" s="2330" t="s">
        <v>2432</v>
      </c>
    </row>
    <row r="3" spans="1:9">
      <c r="A3" s="3747"/>
      <c r="B3" s="3748" t="s">
        <v>2433</v>
      </c>
      <c r="C3" s="3748"/>
      <c r="D3" s="2331"/>
      <c r="E3" s="2329"/>
      <c r="F3" s="2332"/>
      <c r="G3" s="2332"/>
      <c r="H3" s="2333"/>
      <c r="I3" s="2334">
        <f>ROUND(D3*E3*F3*G3*H3/10000,0)</f>
        <v>0</v>
      </c>
    </row>
    <row r="4" spans="1:9">
      <c r="A4" s="3747"/>
      <c r="B4" s="3748" t="s">
        <v>2434</v>
      </c>
      <c r="C4" s="3748"/>
      <c r="D4" s="2331"/>
      <c r="E4" s="2329"/>
      <c r="F4" s="2332"/>
      <c r="G4" s="2332"/>
      <c r="H4" s="2333"/>
      <c r="I4" s="2334">
        <f t="shared" ref="I4:I9" si="0">ROUND(D4*E4*F4*G4*H4/10000,0)</f>
        <v>0</v>
      </c>
    </row>
    <row r="5" spans="1:9">
      <c r="A5" s="3747"/>
      <c r="B5" s="3748" t="s">
        <v>2435</v>
      </c>
      <c r="C5" s="3748"/>
      <c r="D5" s="2331"/>
      <c r="E5" s="2329"/>
      <c r="F5" s="2332"/>
      <c r="G5" s="2332"/>
      <c r="H5" s="2333"/>
      <c r="I5" s="2334">
        <f t="shared" si="0"/>
        <v>0</v>
      </c>
    </row>
    <row r="6" spans="1:9">
      <c r="A6" s="3747"/>
      <c r="B6" s="3748" t="s">
        <v>2436</v>
      </c>
      <c r="C6" s="3748"/>
      <c r="D6" s="2331"/>
      <c r="E6" s="2329"/>
      <c r="F6" s="2332"/>
      <c r="G6" s="2332"/>
      <c r="H6" s="2333"/>
      <c r="I6" s="2334">
        <f t="shared" si="0"/>
        <v>0</v>
      </c>
    </row>
    <row r="7" spans="1:9">
      <c r="A7" s="3747"/>
      <c r="B7" s="3748" t="s">
        <v>2437</v>
      </c>
      <c r="C7" s="3748"/>
      <c r="D7" s="2331"/>
      <c r="E7" s="2329"/>
      <c r="F7" s="2332"/>
      <c r="G7" s="2332"/>
      <c r="H7" s="2333"/>
      <c r="I7" s="2334">
        <f t="shared" si="0"/>
        <v>0</v>
      </c>
    </row>
    <row r="8" spans="1:9">
      <c r="A8" s="3747"/>
      <c r="B8" s="3748" t="s">
        <v>2438</v>
      </c>
      <c r="C8" s="3748"/>
      <c r="D8" s="2331"/>
      <c r="E8" s="2329"/>
      <c r="F8" s="2332"/>
      <c r="G8" s="2332"/>
      <c r="H8" s="2333"/>
      <c r="I8" s="2334">
        <f t="shared" si="0"/>
        <v>0</v>
      </c>
    </row>
    <row r="9" spans="1:9">
      <c r="A9" s="3747"/>
      <c r="B9" s="3748" t="s">
        <v>2439</v>
      </c>
      <c r="C9" s="3748"/>
      <c r="D9" s="2331"/>
      <c r="E9" s="2329"/>
      <c r="F9" s="2332"/>
      <c r="G9" s="2332"/>
      <c r="H9" s="2333"/>
      <c r="I9" s="2334">
        <f t="shared" si="0"/>
        <v>0</v>
      </c>
    </row>
    <row r="10" spans="1:9">
      <c r="A10" s="3747"/>
      <c r="B10" s="3749" t="s">
        <v>2440</v>
      </c>
      <c r="C10" s="3749"/>
      <c r="D10" s="2335">
        <v>527</v>
      </c>
      <c r="E10" s="2335" t="e">
        <f>ROUND(D1*10000/D10/H9,0)</f>
        <v>#DIV/0!</v>
      </c>
      <c r="F10" s="2336"/>
      <c r="G10" s="2336"/>
      <c r="H10" s="2337"/>
      <c r="I10" s="2338">
        <f>SUM(I3:I9)</f>
        <v>0</v>
      </c>
    </row>
    <row r="11" spans="1:9" ht="14.25">
      <c r="A11" s="3747" t="s">
        <v>2441</v>
      </c>
      <c r="B11" s="3748" t="s">
        <v>2442</v>
      </c>
      <c r="C11" s="3748"/>
      <c r="D11" s="2331" t="s">
        <v>2443</v>
      </c>
      <c r="E11" s="2331" t="s">
        <v>2444</v>
      </c>
      <c r="F11" s="2332" t="s">
        <v>2445</v>
      </c>
      <c r="G11" s="2332" t="s">
        <v>2446</v>
      </c>
      <c r="H11" s="2339" t="s">
        <v>2447</v>
      </c>
      <c r="I11" s="2330" t="s">
        <v>2448</v>
      </c>
    </row>
    <row r="12" spans="1:9">
      <c r="A12" s="3747"/>
      <c r="B12" s="3748" t="s">
        <v>2449</v>
      </c>
      <c r="C12" s="3748"/>
      <c r="D12" s="2331"/>
      <c r="E12" s="2331"/>
      <c r="F12" s="2332"/>
      <c r="G12" s="2333"/>
      <c r="H12" s="2340"/>
      <c r="I12" s="2330">
        <f>ROUND(D12*E12*F12*G12/10000,0)</f>
        <v>0</v>
      </c>
    </row>
    <row r="13" spans="1:9">
      <c r="A13" s="3747"/>
      <c r="B13" s="3748" t="s">
        <v>2450</v>
      </c>
      <c r="C13" s="3748"/>
      <c r="D13" s="2331"/>
      <c r="E13" s="2331"/>
      <c r="F13" s="2332"/>
      <c r="G13" s="2333"/>
      <c r="H13" s="2340"/>
      <c r="I13" s="2330">
        <f>ROUND(D13*E13*F13*G13/10000,0)</f>
        <v>0</v>
      </c>
    </row>
    <row r="14" spans="1:9">
      <c r="A14" s="3747"/>
      <c r="B14" s="3748" t="s">
        <v>2451</v>
      </c>
      <c r="C14" s="3748"/>
      <c r="D14" s="2331"/>
      <c r="E14" s="2331"/>
      <c r="F14" s="2332"/>
      <c r="G14" s="2333"/>
      <c r="H14" s="2340"/>
      <c r="I14" s="2330">
        <f>ROUND(D14*E14*F14*G14/10000,0)</f>
        <v>0</v>
      </c>
    </row>
    <row r="15" spans="1:9">
      <c r="A15" s="3747"/>
      <c r="B15" s="3749" t="s">
        <v>2440</v>
      </c>
      <c r="C15" s="3749"/>
      <c r="D15" s="2335"/>
      <c r="E15" s="2335">
        <f>SUM(E12:E14)</f>
        <v>0</v>
      </c>
      <c r="F15" s="2336"/>
      <c r="G15" s="2333"/>
      <c r="H15" s="2340"/>
      <c r="I15" s="2341">
        <f>SUM(I12:I14)</f>
        <v>0</v>
      </c>
    </row>
    <row r="16" spans="1:9" ht="24">
      <c r="A16" s="3747" t="s">
        <v>2452</v>
      </c>
      <c r="B16" s="3748" t="s">
        <v>2453</v>
      </c>
      <c r="C16" s="3748"/>
      <c r="D16" s="2331" t="s">
        <v>2454</v>
      </c>
      <c r="E16" s="2342" t="s">
        <v>2455</v>
      </c>
      <c r="F16" s="2332" t="s">
        <v>2456</v>
      </c>
      <c r="G16" s="2333" t="s">
        <v>2446</v>
      </c>
      <c r="H16" s="2339" t="s">
        <v>2447</v>
      </c>
      <c r="I16" s="2330" t="s">
        <v>2448</v>
      </c>
    </row>
    <row r="17" spans="1:9" ht="14.25">
      <c r="A17" s="3747"/>
      <c r="B17" s="3748" t="s">
        <v>2457</v>
      </c>
      <c r="C17" s="3748"/>
      <c r="D17" s="2331"/>
      <c r="E17" s="2331"/>
      <c r="F17" s="2332"/>
      <c r="G17" s="2333"/>
      <c r="H17" s="2343"/>
      <c r="I17" s="2344">
        <f>ROUND(D17*E17*F17*G17/10000,0)</f>
        <v>0</v>
      </c>
    </row>
    <row r="18" spans="1:9" ht="14.25">
      <c r="A18" s="3747"/>
      <c r="B18" s="3748" t="s">
        <v>2458</v>
      </c>
      <c r="C18" s="3748"/>
      <c r="D18" s="2331"/>
      <c r="E18" s="2331"/>
      <c r="F18" s="2332"/>
      <c r="G18" s="2333"/>
      <c r="H18" s="2343"/>
      <c r="I18" s="2344">
        <f>ROUND(D18*E18*F18*G18/10000,0)</f>
        <v>0</v>
      </c>
    </row>
    <row r="19" spans="1:9" ht="14.25">
      <c r="A19" s="3747"/>
      <c r="B19" s="3748" t="s">
        <v>2459</v>
      </c>
      <c r="C19" s="3748"/>
      <c r="D19" s="2331"/>
      <c r="E19" s="2331"/>
      <c r="F19" s="2332"/>
      <c r="G19" s="2333"/>
      <c r="H19" s="2343"/>
      <c r="I19" s="2344">
        <f>ROUND(D19*E19*F19*G19/10000,0)</f>
        <v>0</v>
      </c>
    </row>
    <row r="20" spans="1:9">
      <c r="A20" s="3747"/>
      <c r="B20" s="3749" t="s">
        <v>2440</v>
      </c>
      <c r="C20" s="3749"/>
      <c r="D20" s="2335">
        <f>SUM(D17:D19)</f>
        <v>0</v>
      </c>
      <c r="E20" s="2335"/>
      <c r="F20" s="2336"/>
      <c r="G20" s="2333"/>
      <c r="H20" s="2340"/>
      <c r="I20" s="2341">
        <f>SUM(I17:I19)</f>
        <v>0</v>
      </c>
    </row>
    <row r="21" spans="1:9">
      <c r="A21" s="3747" t="s">
        <v>2460</v>
      </c>
      <c r="B21" s="3751"/>
      <c r="C21" s="3751"/>
      <c r="D21" s="3751"/>
      <c r="E21" s="3751"/>
      <c r="F21" s="3751"/>
      <c r="G21" s="3751"/>
      <c r="H21" s="2345">
        <v>0.1</v>
      </c>
      <c r="I21" s="2338">
        <f>ROUND(I10*H21,0)</f>
        <v>0</v>
      </c>
    </row>
    <row r="22" spans="1:9" ht="14.25">
      <c r="A22" s="3752" t="s">
        <v>2461</v>
      </c>
      <c r="B22" s="3753"/>
      <c r="C22" s="3754"/>
      <c r="D22" s="2346" t="s">
        <v>2462</v>
      </c>
      <c r="E22" s="2346" t="s">
        <v>2463</v>
      </c>
      <c r="F22" s="2347" t="s">
        <v>2464</v>
      </c>
      <c r="G22" s="2347" t="s">
        <v>2465</v>
      </c>
      <c r="H22" s="2339" t="s">
        <v>2466</v>
      </c>
      <c r="I22" s="2330" t="s">
        <v>2467</v>
      </c>
    </row>
    <row r="23" spans="1:9" ht="14.25" thickBot="1">
      <c r="A23" s="3755"/>
      <c r="B23" s="3756"/>
      <c r="C23" s="3757"/>
      <c r="D23" s="2348"/>
      <c r="E23" s="2348"/>
      <c r="F23" s="2348"/>
      <c r="G23" s="2349"/>
      <c r="H23" s="2350"/>
      <c r="I23" s="2351">
        <f>ROUND(E23*D23*F23*(1-G23)/10000,0)</f>
        <v>0</v>
      </c>
    </row>
    <row r="26" spans="1:9">
      <c r="A26" s="2352" t="s">
        <v>2468</v>
      </c>
      <c r="B26" s="2352"/>
      <c r="C26" s="2352"/>
      <c r="D26" s="2352"/>
      <c r="E26" s="3758">
        <f>C27-C30-C31-C32</f>
        <v>0</v>
      </c>
      <c r="F26" s="3758"/>
      <c r="G26" s="3758"/>
      <c r="H26" s="2722" t="s">
        <v>2791</v>
      </c>
    </row>
    <row r="27" spans="1:9">
      <c r="A27" s="2353">
        <v>1</v>
      </c>
      <c r="B27" s="2354" t="s">
        <v>2469</v>
      </c>
      <c r="C27" s="2354"/>
      <c r="D27" s="2354"/>
      <c r="E27" s="3759"/>
      <c r="F27" s="3759"/>
      <c r="G27" s="3759"/>
    </row>
    <row r="28" spans="1:9">
      <c r="A28" s="2355" t="s">
        <v>2470</v>
      </c>
      <c r="B28" s="2354" t="s">
        <v>2471</v>
      </c>
      <c r="C28" s="2354"/>
      <c r="D28" s="2354"/>
      <c r="E28" s="3759"/>
      <c r="F28" s="3759"/>
      <c r="G28" s="3759"/>
    </row>
    <row r="29" spans="1:9">
      <c r="A29" s="2355" t="s">
        <v>2472</v>
      </c>
      <c r="B29" s="2354" t="s">
        <v>2413</v>
      </c>
      <c r="C29" s="2354"/>
      <c r="D29" s="2354"/>
      <c r="E29" s="2354" t="s">
        <v>2473</v>
      </c>
      <c r="F29" s="2354"/>
      <c r="G29" s="2354"/>
    </row>
    <row r="30" spans="1:9">
      <c r="A30" s="2353">
        <v>2</v>
      </c>
      <c r="B30" s="2354" t="s">
        <v>2474</v>
      </c>
      <c r="C30" s="2354">
        <f>C27*D30</f>
        <v>0</v>
      </c>
      <c r="D30" s="2356">
        <v>0.2</v>
      </c>
      <c r="E30" s="2354" t="s">
        <v>2475</v>
      </c>
      <c r="F30" s="2354"/>
      <c r="G30" s="2354"/>
    </row>
    <row r="31" spans="1:9">
      <c r="A31" s="2353">
        <v>3</v>
      </c>
      <c r="B31" s="2354" t="s">
        <v>2476</v>
      </c>
      <c r="C31" s="2354">
        <f>C25*D31</f>
        <v>0</v>
      </c>
      <c r="D31" s="2356">
        <v>0.15</v>
      </c>
      <c r="E31" s="2354" t="s">
        <v>2477</v>
      </c>
      <c r="F31" s="2354"/>
      <c r="G31" s="2354"/>
    </row>
    <row r="32" spans="1:9">
      <c r="A32" s="2353">
        <v>4</v>
      </c>
      <c r="B32" s="2354" t="s">
        <v>2478</v>
      </c>
      <c r="C32" s="2354">
        <f>C27*D32</f>
        <v>0</v>
      </c>
      <c r="D32" s="2356">
        <v>0.05</v>
      </c>
      <c r="E32" s="3750"/>
      <c r="F32" s="3750"/>
      <c r="G32" s="3750"/>
    </row>
    <row r="33" spans="1:7" hidden="1">
      <c r="A33" s="3760" t="s">
        <v>2479</v>
      </c>
      <c r="B33" s="3761"/>
      <c r="C33" s="3761"/>
      <c r="D33" s="3762"/>
      <c r="E33" s="3758"/>
      <c r="F33" s="3758"/>
      <c r="G33" s="3758"/>
    </row>
    <row r="34" spans="1:7" hidden="1">
      <c r="A34" s="2357">
        <v>1</v>
      </c>
      <c r="B34" s="2354" t="s">
        <v>2480</v>
      </c>
      <c r="C34" s="2354"/>
      <c r="D34" s="2354"/>
      <c r="E34" s="3759"/>
      <c r="F34" s="3759"/>
      <c r="G34" s="3759"/>
    </row>
    <row r="35" spans="1:7" hidden="1">
      <c r="A35" s="2357">
        <v>2</v>
      </c>
      <c r="B35" s="2354" t="s">
        <v>2481</v>
      </c>
      <c r="C35" s="2354"/>
      <c r="D35" s="2354"/>
      <c r="E35" s="3759"/>
      <c r="F35" s="3759"/>
      <c r="G35" s="3759"/>
    </row>
    <row r="36" spans="1:7" hidden="1">
      <c r="A36" s="2357">
        <v>3</v>
      </c>
      <c r="B36" s="2354" t="s">
        <v>2482</v>
      </c>
      <c r="C36" s="2354"/>
      <c r="D36" s="2354"/>
      <c r="E36" s="3759"/>
      <c r="F36" s="3759"/>
      <c r="G36" s="3759"/>
    </row>
    <row r="37" spans="1:7" hidden="1">
      <c r="A37" s="2357">
        <v>4</v>
      </c>
      <c r="B37" s="2354" t="s">
        <v>2483</v>
      </c>
      <c r="C37" s="2354"/>
      <c r="D37" s="2354"/>
      <c r="E37" s="3759"/>
      <c r="F37" s="3759"/>
      <c r="G37" s="3759"/>
    </row>
    <row r="38" spans="1:7" hidden="1">
      <c r="A38" s="3760" t="s">
        <v>2484</v>
      </c>
      <c r="B38" s="3761"/>
      <c r="C38" s="3761"/>
      <c r="D38" s="3762"/>
      <c r="E38" s="3758"/>
      <c r="F38" s="3758"/>
      <c r="G38" s="37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t="e">
        <f ca="1">C23</f>
        <v>#DIV/0!</v>
      </c>
      <c r="C2" s="3233"/>
      <c r="D2" s="3233"/>
      <c r="E2" s="3233"/>
      <c r="F2" s="3233"/>
      <c r="G2" s="3233"/>
    </row>
    <row r="3" spans="1:25" s="1914" customFormat="1" ht="18" customHeight="1">
      <c r="A3" s="1305" t="s">
        <v>1659</v>
      </c>
      <c r="B3" s="419" t="e">
        <f ca="1">ROUND(B2*10000/'数据-汇总表'!E3,0)</f>
        <v>#DIV/0!</v>
      </c>
      <c r="C3" s="3233"/>
      <c r="D3" s="3233"/>
      <c r="E3" s="3233"/>
      <c r="F3" s="3233"/>
      <c r="G3" s="3233"/>
    </row>
    <row r="4" spans="1:25" s="1914" customFormat="1" ht="18" customHeight="1">
      <c r="A4" s="420" t="s">
        <v>462</v>
      </c>
      <c r="B4" s="421" t="e">
        <f ca="1">ROUND(B2*10000/'数据-汇总表'!D3,0)</f>
        <v>#DIV/0!</v>
      </c>
      <c r="C4" s="3186"/>
      <c r="D4" s="3233"/>
      <c r="E4" s="3233"/>
      <c r="F4" s="3233"/>
      <c r="G4" s="3233"/>
    </row>
    <row r="5" spans="1:25" s="1914" customFormat="1" ht="18" customHeight="1" thickBot="1">
      <c r="A5" s="423"/>
      <c r="B5" s="424" t="e">
        <f ca="1">ROUND(B2/('数据-汇总表'!D3/666.67),0)</f>
        <v>#DIV/0!</v>
      </c>
      <c r="C5" s="425" t="s">
        <v>463</v>
      </c>
      <c r="D5" s="3233"/>
      <c r="E5" s="3233"/>
      <c r="F5" s="3233"/>
      <c r="G5" s="3233"/>
    </row>
    <row r="6" spans="1:25" s="2035" customFormat="1" ht="13.5" customHeight="1">
      <c r="A6" s="717"/>
      <c r="B6" s="718" t="s">
        <v>582</v>
      </c>
      <c r="C6" s="719" t="s">
        <v>583</v>
      </c>
      <c r="D6" s="719" t="s">
        <v>584</v>
      </c>
      <c r="E6" s="720" t="s">
        <v>585</v>
      </c>
      <c r="F6" s="720" t="s">
        <v>586</v>
      </c>
      <c r="G6" s="3232" t="s">
        <v>2962</v>
      </c>
    </row>
    <row r="7" spans="1:25" s="2035" customFormat="1" ht="13.5" customHeight="1">
      <c r="A7" s="2294">
        <v>1</v>
      </c>
      <c r="B7" s="721" t="s">
        <v>587</v>
      </c>
      <c r="C7" s="722">
        <f>C8+C9</f>
        <v>0</v>
      </c>
      <c r="D7" s="722"/>
      <c r="E7" s="723"/>
      <c r="F7" s="723"/>
      <c r="G7" s="2303"/>
    </row>
    <row r="8" spans="1:25" s="2035" customFormat="1" ht="13.5" customHeight="1">
      <c r="A8" s="2294" t="s">
        <v>2394</v>
      </c>
      <c r="B8" s="2297" t="s">
        <v>2396</v>
      </c>
      <c r="C8" s="3236">
        <f t="shared" ref="C8:C9" si="0">ROUND(D8*E8/10000,0)</f>
        <v>0</v>
      </c>
      <c r="D8" s="3236">
        <v>0</v>
      </c>
      <c r="E8" s="3237">
        <v>0</v>
      </c>
      <c r="F8" s="723"/>
      <c r="G8" s="724"/>
    </row>
    <row r="9" spans="1:25" s="2035" customFormat="1" ht="13.5" customHeight="1">
      <c r="A9" s="2294" t="s">
        <v>2395</v>
      </c>
      <c r="B9" s="2297" t="s">
        <v>2397</v>
      </c>
      <c r="C9" s="3236">
        <f t="shared" si="0"/>
        <v>0</v>
      </c>
      <c r="D9" s="3236">
        <v>0</v>
      </c>
      <c r="E9" s="3237">
        <v>0</v>
      </c>
      <c r="F9" s="723"/>
      <c r="G9" s="724"/>
    </row>
    <row r="10" spans="1:25" s="2035" customFormat="1" ht="36">
      <c r="A10" s="2294">
        <v>2</v>
      </c>
      <c r="B10" s="721" t="s">
        <v>591</v>
      </c>
      <c r="C10" s="722">
        <f>C11+C14+C15</f>
        <v>0</v>
      </c>
      <c r="D10" s="732"/>
      <c r="E10" s="722"/>
      <c r="F10" s="733"/>
      <c r="G10" s="731" t="s">
        <v>592</v>
      </c>
    </row>
    <row r="11" spans="1:25" s="2035" customFormat="1" ht="13.5" customHeight="1">
      <c r="A11" s="2294" t="s">
        <v>2394</v>
      </c>
      <c r="B11" s="725" t="s">
        <v>588</v>
      </c>
      <c r="C11" s="726">
        <f>'数据-取费表'!B29</f>
        <v>0</v>
      </c>
      <c r="D11" s="727"/>
      <c r="E11" s="726"/>
      <c r="F11" s="728"/>
      <c r="G11" s="2302" t="s">
        <v>2405</v>
      </c>
    </row>
    <row r="12" spans="1:25" s="2035" customFormat="1" ht="13.5" customHeight="1">
      <c r="A12" s="2300" t="s">
        <v>2402</v>
      </c>
      <c r="B12" s="729" t="s">
        <v>589</v>
      </c>
      <c r="C12" s="730">
        <f>ROUND(D12*E12/10000,0)</f>
        <v>0</v>
      </c>
      <c r="D12" s="3236">
        <f>'数据-汇总表'!E5</f>
        <v>0</v>
      </c>
      <c r="E12" s="3236">
        <f>'数据-取费表'!B27</f>
        <v>0</v>
      </c>
      <c r="F12" s="728"/>
      <c r="G12" s="731"/>
    </row>
    <row r="13" spans="1:25" s="2035" customFormat="1" ht="13.5" customHeight="1">
      <c r="A13" s="2300" t="s">
        <v>2401</v>
      </c>
      <c r="B13" s="729" t="s">
        <v>590</v>
      </c>
      <c r="C13" s="730">
        <f>ROUND(D13*E13/10000,0)</f>
        <v>0</v>
      </c>
      <c r="D13" s="3236">
        <f>'数据-汇总表'!E6</f>
        <v>0</v>
      </c>
      <c r="E13" s="3236">
        <f>'数据-取费表'!B28</f>
        <v>0</v>
      </c>
      <c r="F13" s="728"/>
      <c r="G13" s="731"/>
    </row>
    <row r="14" spans="1:25" s="2035" customFormat="1" ht="13.5" customHeight="1">
      <c r="A14" s="2294" t="s">
        <v>2395</v>
      </c>
      <c r="B14" s="2299" t="s">
        <v>2398</v>
      </c>
      <c r="C14" s="3238">
        <f t="shared" ref="C14:C15" si="1">ROUND(D14*E14/10000,0)</f>
        <v>0</v>
      </c>
      <c r="D14" s="3236">
        <v>0</v>
      </c>
      <c r="E14" s="3237">
        <v>0</v>
      </c>
      <c r="F14" s="2298"/>
      <c r="G14" s="2301" t="s">
        <v>2403</v>
      </c>
    </row>
    <row r="15" spans="1:25" s="2035" customFormat="1" ht="13.5" customHeight="1">
      <c r="A15" s="2294" t="s">
        <v>2400</v>
      </c>
      <c r="B15" s="2299" t="s">
        <v>2399</v>
      </c>
      <c r="C15" s="3238">
        <f t="shared" si="1"/>
        <v>0</v>
      </c>
      <c r="D15" s="3236">
        <v>0</v>
      </c>
      <c r="E15" s="3237">
        <v>0</v>
      </c>
      <c r="F15" s="2298"/>
      <c r="G15" s="2301" t="s">
        <v>2404</v>
      </c>
    </row>
    <row r="16" spans="1:25" s="2036" customFormat="1" ht="48">
      <c r="A16" s="2294">
        <v>3</v>
      </c>
      <c r="B16" s="721" t="s">
        <v>593</v>
      </c>
      <c r="C16" s="3238">
        <f t="shared" ref="C16" si="2">ROUND(D16*E16/10000,0)</f>
        <v>0</v>
      </c>
      <c r="D16" s="3236">
        <v>0</v>
      </c>
      <c r="E16" s="3237">
        <v>0</v>
      </c>
      <c r="F16" s="733"/>
      <c r="G16" s="731" t="s">
        <v>2406</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t="e">
        <f ca="1">ROUND(C21*F22,0)</f>
        <v>#DIV/0!</v>
      </c>
      <c r="D22" s="732"/>
      <c r="E22" s="722"/>
      <c r="F22" s="738" t="e">
        <f>'数据-取费表'!AP16</f>
        <v>#DIV/0!</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t="e">
        <f ca="1">C22</f>
        <v>#DIV/0!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633" t="s">
        <v>500</v>
      </c>
      <c r="D4" s="3634"/>
      <c r="E4" s="3667" t="s">
        <v>501</v>
      </c>
      <c r="F4" s="3668"/>
      <c r="G4" s="3633" t="s">
        <v>502</v>
      </c>
      <c r="H4" s="3634"/>
      <c r="I4" s="3633" t="s">
        <v>503</v>
      </c>
      <c r="J4" s="3634"/>
      <c r="K4" s="824" t="s">
        <v>504</v>
      </c>
      <c r="L4" s="1986"/>
      <c r="M4" s="1987"/>
      <c r="N4" s="1987"/>
      <c r="O4" s="1987"/>
      <c r="P4" s="3635" t="s">
        <v>505</v>
      </c>
      <c r="Q4" s="3636"/>
      <c r="R4" s="3641" t="s">
        <v>501</v>
      </c>
      <c r="S4" s="3642"/>
      <c r="T4" s="3641" t="s">
        <v>502</v>
      </c>
      <c r="U4" s="3642"/>
      <c r="V4" s="3628" t="s">
        <v>503</v>
      </c>
      <c r="W4" s="3628"/>
      <c r="X4" s="1476"/>
      <c r="Y4" s="3641" t="s">
        <v>505</v>
      </c>
      <c r="Z4" s="3642"/>
      <c r="AA4" s="3630" t="s">
        <v>501</v>
      </c>
      <c r="AB4" s="3630" t="s">
        <v>502</v>
      </c>
      <c r="AC4" s="3630" t="s">
        <v>503</v>
      </c>
    </row>
    <row r="5" spans="1:29" ht="15">
      <c r="A5" s="491"/>
      <c r="B5" s="492"/>
      <c r="C5" s="3649" t="s">
        <v>2866</v>
      </c>
      <c r="D5" s="3650"/>
      <c r="E5" s="3669" t="s">
        <v>2867</v>
      </c>
      <c r="F5" s="3670"/>
      <c r="G5" s="3649" t="s">
        <v>2868</v>
      </c>
      <c r="H5" s="3650"/>
      <c r="I5" s="3649" t="s">
        <v>2869</v>
      </c>
      <c r="J5" s="3650"/>
      <c r="K5" s="825"/>
      <c r="L5" s="1986"/>
      <c r="M5" s="1987"/>
      <c r="N5" s="1987"/>
      <c r="O5" s="1987"/>
      <c r="P5" s="3637"/>
      <c r="Q5" s="3638"/>
      <c r="R5" s="3643"/>
      <c r="S5" s="3644"/>
      <c r="T5" s="3643"/>
      <c r="U5" s="3644"/>
      <c r="V5" s="3628"/>
      <c r="W5" s="3628"/>
      <c r="X5" s="1476"/>
      <c r="Y5" s="3643"/>
      <c r="Z5" s="3644"/>
      <c r="AA5" s="3631"/>
      <c r="AB5" s="3631"/>
      <c r="AC5" s="3631"/>
    </row>
    <row r="6" spans="1:29" ht="15.75" thickBot="1">
      <c r="A6" s="493"/>
      <c r="B6" s="494"/>
      <c r="C6" s="3647" t="s">
        <v>2870</v>
      </c>
      <c r="D6" s="3648"/>
      <c r="E6" s="3665" t="s">
        <v>2870</v>
      </c>
      <c r="F6" s="3666"/>
      <c r="G6" s="3647" t="s">
        <v>2870</v>
      </c>
      <c r="H6" s="3648"/>
      <c r="I6" s="3647" t="s">
        <v>2870</v>
      </c>
      <c r="J6" s="3648"/>
      <c r="K6" s="825" t="s">
        <v>506</v>
      </c>
      <c r="L6" s="1986"/>
      <c r="M6" s="1987"/>
      <c r="N6" s="1987"/>
      <c r="O6" s="1987"/>
      <c r="P6" s="3639"/>
      <c r="Q6" s="3640"/>
      <c r="R6" s="3643"/>
      <c r="S6" s="3644"/>
      <c r="T6" s="3645"/>
      <c r="U6" s="3646"/>
      <c r="V6" s="3628"/>
      <c r="W6" s="3628"/>
      <c r="X6" s="1476"/>
      <c r="Y6" s="3645"/>
      <c r="Z6" s="3646"/>
      <c r="AA6" s="3632"/>
      <c r="AB6" s="3632"/>
      <c r="AC6" s="3632"/>
    </row>
    <row r="7" spans="1:29" s="1185" customFormat="1" ht="15.75" thickBot="1">
      <c r="A7" s="2597"/>
      <c r="B7" s="2604" t="s">
        <v>507</v>
      </c>
      <c r="C7" s="495">
        <f>'数据-取费表'!B2</f>
        <v>44622</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58" t="s">
        <v>508</v>
      </c>
      <c r="Q7" s="3660"/>
      <c r="R7" s="1477" t="s">
        <v>13</v>
      </c>
      <c r="S7" s="1478">
        <f t="shared" ref="S7:S15" si="0">F7</f>
        <v>0</v>
      </c>
      <c r="T7" s="1477" t="s">
        <v>13</v>
      </c>
      <c r="U7" s="1478">
        <f t="shared" ref="U7:U15" si="1">H7</f>
        <v>0</v>
      </c>
      <c r="V7" s="1477" t="s">
        <v>13</v>
      </c>
      <c r="W7" s="1478">
        <f t="shared" ref="W7:W15" si="2">J7</f>
        <v>0</v>
      </c>
      <c r="X7" s="1479"/>
      <c r="Y7" s="3658" t="s">
        <v>508</v>
      </c>
      <c r="Z7" s="3659"/>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58" t="s">
        <v>511</v>
      </c>
      <c r="Q8" s="3659"/>
      <c r="R8" s="1477" t="s">
        <v>13</v>
      </c>
      <c r="S8" s="1478">
        <f t="shared" si="0"/>
        <v>0</v>
      </c>
      <c r="T8" s="1477" t="s">
        <v>13</v>
      </c>
      <c r="U8" s="1478">
        <f t="shared" si="1"/>
        <v>0</v>
      </c>
      <c r="V8" s="1477" t="s">
        <v>13</v>
      </c>
      <c r="W8" s="1478">
        <f t="shared" si="2"/>
        <v>0</v>
      </c>
      <c r="X8" s="1479"/>
      <c r="Y8" s="3658" t="s">
        <v>511</v>
      </c>
      <c r="Z8" s="3659"/>
      <c r="AA8" s="1480" t="e">
        <f t="shared" ref="AA8:AA46" si="3">D8/F8</f>
        <v>#DIV/0!</v>
      </c>
      <c r="AB8" s="1480" t="e">
        <f t="shared" ref="AB8:AB46" si="4">D8/H8</f>
        <v>#DIV/0!</v>
      </c>
      <c r="AC8" s="1480" t="e">
        <f t="shared" ref="AC8:AC46" si="5">D8/J8</f>
        <v>#DIV/0!</v>
      </c>
    </row>
    <row r="9" spans="1:29" s="1185" customFormat="1" ht="15">
      <c r="A9" s="2599"/>
      <c r="B9" s="2606" t="s">
        <v>2708</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27" t="s">
        <v>513</v>
      </c>
      <c r="Q9" s="1116" t="str">
        <f t="shared" ref="Q9:Q15" si="6">B9</f>
        <v>用途</v>
      </c>
      <c r="R9" s="1477" t="s">
        <v>8</v>
      </c>
      <c r="S9" s="1478">
        <f t="shared" si="0"/>
        <v>100</v>
      </c>
      <c r="T9" s="1477" t="s">
        <v>8</v>
      </c>
      <c r="U9" s="1478">
        <f t="shared" si="1"/>
        <v>100</v>
      </c>
      <c r="V9" s="1477" t="s">
        <v>8</v>
      </c>
      <c r="W9" s="1478">
        <f t="shared" si="2"/>
        <v>100</v>
      </c>
      <c r="X9" s="1479"/>
      <c r="Y9" s="3569"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27"/>
      <c r="Q10" s="1116" t="str">
        <f t="shared" si="6"/>
        <v>土地使用年限（年）</v>
      </c>
      <c r="R10" s="1477" t="s">
        <v>8</v>
      </c>
      <c r="S10" s="1478">
        <f t="shared" si="0"/>
        <v>100</v>
      </c>
      <c r="T10" s="1477" t="s">
        <v>8</v>
      </c>
      <c r="U10" s="1478">
        <f t="shared" si="1"/>
        <v>100</v>
      </c>
      <c r="V10" s="1477" t="s">
        <v>8</v>
      </c>
      <c r="W10" s="1478">
        <f t="shared" si="2"/>
        <v>100</v>
      </c>
      <c r="X10" s="1479"/>
      <c r="Y10" s="3569"/>
      <c r="Z10" s="1115" t="str">
        <f t="shared" si="7"/>
        <v>土地使用年限（年）</v>
      </c>
      <c r="AA10" s="1480">
        <f t="shared" si="3"/>
        <v>1</v>
      </c>
      <c r="AB10" s="1480">
        <f t="shared" si="4"/>
        <v>1</v>
      </c>
      <c r="AC10" s="1480">
        <f t="shared" si="5"/>
        <v>1</v>
      </c>
    </row>
    <row r="11" spans="1:29" ht="15">
      <c r="A11" s="2601"/>
      <c r="B11" s="2605" t="s">
        <v>2710</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27"/>
      <c r="Q11" s="1116" t="str">
        <f t="shared" si="6"/>
        <v>容积率</v>
      </c>
      <c r="R11" s="1477" t="s">
        <v>11</v>
      </c>
      <c r="S11" s="1478" t="e">
        <f t="shared" si="0"/>
        <v>#N/A</v>
      </c>
      <c r="T11" s="1477" t="s">
        <v>11</v>
      </c>
      <c r="U11" s="1478" t="e">
        <f t="shared" si="1"/>
        <v>#N/A</v>
      </c>
      <c r="V11" s="1477" t="s">
        <v>11</v>
      </c>
      <c r="W11" s="1478" t="e">
        <f t="shared" si="2"/>
        <v>#N/A</v>
      </c>
      <c r="X11" s="1479"/>
      <c r="Y11" s="3569"/>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27"/>
      <c r="Q12" s="1116">
        <f t="shared" si="6"/>
        <v>111</v>
      </c>
      <c r="R12" s="1477" t="s">
        <v>11</v>
      </c>
      <c r="S12" s="1478">
        <f t="shared" si="0"/>
        <v>100</v>
      </c>
      <c r="T12" s="1477" t="s">
        <v>11</v>
      </c>
      <c r="U12" s="1478">
        <f t="shared" si="1"/>
        <v>100</v>
      </c>
      <c r="V12" s="1477" t="s">
        <v>11</v>
      </c>
      <c r="W12" s="1478">
        <f t="shared" si="2"/>
        <v>100</v>
      </c>
      <c r="X12" s="1479"/>
      <c r="Y12" s="3569"/>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27"/>
      <c r="Q13" s="1116">
        <f t="shared" si="6"/>
        <v>111</v>
      </c>
      <c r="R13" s="1477" t="s">
        <v>11</v>
      </c>
      <c r="S13" s="1478">
        <f t="shared" si="0"/>
        <v>100</v>
      </c>
      <c r="T13" s="1477" t="s">
        <v>11</v>
      </c>
      <c r="U13" s="1478">
        <f t="shared" si="1"/>
        <v>100</v>
      </c>
      <c r="V13" s="1477" t="s">
        <v>11</v>
      </c>
      <c r="W13" s="1478">
        <f t="shared" si="2"/>
        <v>100</v>
      </c>
      <c r="X13" s="1479"/>
      <c r="Y13" s="3569"/>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27"/>
      <c r="Q14" s="1116">
        <f t="shared" si="6"/>
        <v>111</v>
      </c>
      <c r="R14" s="1477" t="s">
        <v>11</v>
      </c>
      <c r="S14" s="1478">
        <f t="shared" si="0"/>
        <v>100</v>
      </c>
      <c r="T14" s="1477" t="s">
        <v>11</v>
      </c>
      <c r="U14" s="1478">
        <f t="shared" si="1"/>
        <v>100</v>
      </c>
      <c r="V14" s="1477" t="s">
        <v>11</v>
      </c>
      <c r="W14" s="1478">
        <f t="shared" si="2"/>
        <v>100</v>
      </c>
      <c r="X14" s="1479"/>
      <c r="Y14" s="3569"/>
      <c r="Z14" s="1115">
        <f t="shared" si="7"/>
        <v>111</v>
      </c>
      <c r="AA14" s="1480">
        <f t="shared" si="3"/>
        <v>1</v>
      </c>
      <c r="AB14" s="1480">
        <f t="shared" si="4"/>
        <v>1</v>
      </c>
      <c r="AC14" s="1480">
        <f t="shared" si="5"/>
        <v>1</v>
      </c>
    </row>
    <row r="15" spans="1:29" ht="99.75">
      <c r="A15" s="2595" t="s">
        <v>2706</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61" t="s">
        <v>518</v>
      </c>
      <c r="Q15" s="1481" t="str">
        <f t="shared" si="6"/>
        <v>居住社区成熟度</v>
      </c>
      <c r="R15" s="1482" t="s">
        <v>11</v>
      </c>
      <c r="S15" s="1483">
        <f t="shared" si="0"/>
        <v>100</v>
      </c>
      <c r="T15" s="1482" t="s">
        <v>11</v>
      </c>
      <c r="U15" s="1483">
        <f t="shared" si="1"/>
        <v>100</v>
      </c>
      <c r="V15" s="1482" t="s">
        <v>11</v>
      </c>
      <c r="W15" s="1483">
        <f t="shared" si="2"/>
        <v>100</v>
      </c>
      <c r="X15" s="1476"/>
      <c r="Y15" s="3661"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662"/>
      <c r="Q16" s="1481"/>
      <c r="R16" s="1482"/>
      <c r="S16" s="1483"/>
      <c r="T16" s="1482"/>
      <c r="U16" s="1483"/>
      <c r="V16" s="1482"/>
      <c r="W16" s="1483"/>
      <c r="X16" s="1476"/>
      <c r="Y16" s="3662"/>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62"/>
      <c r="Q17" s="1481" t="str">
        <f>B17</f>
        <v>交通便捷度</v>
      </c>
      <c r="R17" s="1482" t="s">
        <v>11</v>
      </c>
      <c r="S17" s="1483">
        <f>F17</f>
        <v>100</v>
      </c>
      <c r="T17" s="1482" t="s">
        <v>11</v>
      </c>
      <c r="U17" s="1483">
        <f>H17</f>
        <v>100</v>
      </c>
      <c r="V17" s="1482" t="s">
        <v>11</v>
      </c>
      <c r="W17" s="1483">
        <f>J17</f>
        <v>100</v>
      </c>
      <c r="X17" s="1476"/>
      <c r="Y17" s="3662"/>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662"/>
      <c r="Q18" s="1481"/>
      <c r="R18" s="1482"/>
      <c r="S18" s="1483"/>
      <c r="T18" s="1482"/>
      <c r="U18" s="1483"/>
      <c r="V18" s="1482"/>
      <c r="W18" s="1483"/>
      <c r="X18" s="1476"/>
      <c r="Y18" s="3662"/>
      <c r="Z18" s="1484"/>
      <c r="AA18" s="1485">
        <v>1</v>
      </c>
      <c r="AB18" s="1485">
        <v>1</v>
      </c>
      <c r="AC18" s="1485">
        <v>1</v>
      </c>
    </row>
    <row r="19" spans="1:29" ht="42.75">
      <c r="A19" s="508"/>
      <c r="B19" s="2412" t="s">
        <v>2499</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62"/>
      <c r="Q19" s="1481" t="str">
        <f>B19</f>
        <v>公共配套设施</v>
      </c>
      <c r="R19" s="1482" t="s">
        <v>11</v>
      </c>
      <c r="S19" s="1483">
        <f>F19</f>
        <v>100</v>
      </c>
      <c r="T19" s="1482" t="s">
        <v>11</v>
      </c>
      <c r="U19" s="1483">
        <f>H19</f>
        <v>100</v>
      </c>
      <c r="V19" s="1482" t="s">
        <v>11</v>
      </c>
      <c r="W19" s="1483">
        <f>J19</f>
        <v>100</v>
      </c>
      <c r="X19" s="1476"/>
      <c r="Y19" s="3662"/>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662"/>
      <c r="Q20" s="1481"/>
      <c r="R20" s="1482"/>
      <c r="S20" s="1483"/>
      <c r="T20" s="1482"/>
      <c r="U20" s="1483"/>
      <c r="V20" s="1482"/>
      <c r="W20" s="1483"/>
      <c r="X20" s="1476"/>
      <c r="Y20" s="3662"/>
      <c r="Z20" s="1484"/>
      <c r="AA20" s="1485">
        <v>1</v>
      </c>
      <c r="AB20" s="1485">
        <v>1</v>
      </c>
      <c r="AC20" s="1485">
        <v>1</v>
      </c>
    </row>
    <row r="21" spans="1:29" ht="28.5">
      <c r="A21" s="508"/>
      <c r="B21" s="2405" t="s">
        <v>2511</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62"/>
      <c r="Q21" s="2397" t="str">
        <f>B21</f>
        <v>基础设施水平</v>
      </c>
      <c r="R21" s="1482" t="s">
        <v>11</v>
      </c>
      <c r="S21" s="1483">
        <f>F21</f>
        <v>100</v>
      </c>
      <c r="T21" s="1482" t="s">
        <v>11</v>
      </c>
      <c r="U21" s="1483">
        <f>H21</f>
        <v>100</v>
      </c>
      <c r="V21" s="1482" t="s">
        <v>11</v>
      </c>
      <c r="W21" s="1483">
        <f>J21</f>
        <v>100</v>
      </c>
      <c r="X21" s="2399"/>
      <c r="Y21" s="3662"/>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662"/>
      <c r="Q22" s="2397"/>
      <c r="R22" s="1482"/>
      <c r="S22" s="1483"/>
      <c r="T22" s="1482"/>
      <c r="U22" s="1483"/>
      <c r="V22" s="1482"/>
      <c r="W22" s="1483"/>
      <c r="X22" s="2399"/>
      <c r="Y22" s="3662"/>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62"/>
      <c r="Q23" s="1481" t="str">
        <f>B23</f>
        <v>自然及人文环境</v>
      </c>
      <c r="R23" s="1482" t="s">
        <v>11</v>
      </c>
      <c r="S23" s="1483">
        <f>F23</f>
        <v>100</v>
      </c>
      <c r="T23" s="1482" t="s">
        <v>11</v>
      </c>
      <c r="U23" s="1483">
        <f>H23</f>
        <v>100</v>
      </c>
      <c r="V23" s="1482" t="s">
        <v>11</v>
      </c>
      <c r="W23" s="1483">
        <f>J23</f>
        <v>100</v>
      </c>
      <c r="X23" s="1476"/>
      <c r="Y23" s="3662"/>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662"/>
      <c r="Q24" s="1481"/>
      <c r="R24" s="1482"/>
      <c r="S24" s="1483"/>
      <c r="T24" s="1482"/>
      <c r="U24" s="1483"/>
      <c r="V24" s="1482"/>
      <c r="W24" s="1483"/>
      <c r="X24" s="1476"/>
      <c r="Y24" s="3662"/>
      <c r="Z24" s="1484"/>
      <c r="AA24" s="1485">
        <v>1</v>
      </c>
      <c r="AB24" s="1485">
        <v>1</v>
      </c>
      <c r="AC24" s="1485">
        <v>1</v>
      </c>
    </row>
    <row r="25" spans="1:29" ht="15">
      <c r="A25" s="508"/>
      <c r="B25" s="1782" t="s">
        <v>2222</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62"/>
      <c r="Q25" s="1481" t="str">
        <f t="shared" ref="Q25:Q46" si="11">B25</f>
        <v>楼层-1</v>
      </c>
      <c r="R25" s="1482" t="s">
        <v>11</v>
      </c>
      <c r="S25" s="1483">
        <f>F25</f>
        <v>100</v>
      </c>
      <c r="T25" s="1482" t="s">
        <v>11</v>
      </c>
      <c r="U25" s="1483">
        <f>H25</f>
        <v>100</v>
      </c>
      <c r="V25" s="1482" t="s">
        <v>11</v>
      </c>
      <c r="W25" s="1483">
        <f>J25</f>
        <v>100</v>
      </c>
      <c r="X25" s="1476"/>
      <c r="Y25" s="3662"/>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62"/>
      <c r="Q26" s="1481" t="str">
        <f t="shared" si="11"/>
        <v>朝向</v>
      </c>
      <c r="R26" s="1482" t="s">
        <v>11</v>
      </c>
      <c r="S26" s="1483">
        <f>F26</f>
        <v>100</v>
      </c>
      <c r="T26" s="1482" t="s">
        <v>11</v>
      </c>
      <c r="U26" s="1483">
        <f>H26</f>
        <v>100</v>
      </c>
      <c r="V26" s="1482" t="s">
        <v>11</v>
      </c>
      <c r="W26" s="1483">
        <f>J26</f>
        <v>100</v>
      </c>
      <c r="X26" s="1476"/>
      <c r="Y26" s="3662"/>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62"/>
      <c r="Q27" s="1116" t="str">
        <f t="shared" si="11"/>
        <v>道路级别</v>
      </c>
      <c r="R27" s="1477" t="s">
        <v>11</v>
      </c>
      <c r="S27" s="1478">
        <f>F27</f>
        <v>100</v>
      </c>
      <c r="T27" s="1477" t="s">
        <v>11</v>
      </c>
      <c r="U27" s="1478">
        <f>H27</f>
        <v>100</v>
      </c>
      <c r="V27" s="1477" t="s">
        <v>11</v>
      </c>
      <c r="W27" s="1478">
        <f>J27</f>
        <v>100</v>
      </c>
      <c r="X27" s="1479"/>
      <c r="Y27" s="3662"/>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62"/>
      <c r="Q28" s="1481">
        <f t="shared" si="11"/>
        <v>111</v>
      </c>
      <c r="R28" s="1482" t="s">
        <v>11</v>
      </c>
      <c r="S28" s="1483">
        <f t="shared" ref="S28:S46" si="12">F28</f>
        <v>100</v>
      </c>
      <c r="T28" s="1482" t="s">
        <v>11</v>
      </c>
      <c r="U28" s="1483">
        <f t="shared" ref="U28:U46" si="13">H28</f>
        <v>100</v>
      </c>
      <c r="V28" s="1482" t="s">
        <v>11</v>
      </c>
      <c r="W28" s="1483">
        <f t="shared" ref="W28:W46" si="14">J28</f>
        <v>100</v>
      </c>
      <c r="X28" s="1476"/>
      <c r="Y28" s="3662"/>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62"/>
      <c r="Q29" s="1481">
        <f t="shared" si="11"/>
        <v>111</v>
      </c>
      <c r="R29" s="1482" t="s">
        <v>11</v>
      </c>
      <c r="S29" s="1483">
        <f t="shared" si="12"/>
        <v>100</v>
      </c>
      <c r="T29" s="1482" t="s">
        <v>11</v>
      </c>
      <c r="U29" s="1483">
        <f t="shared" si="13"/>
        <v>100</v>
      </c>
      <c r="V29" s="1482" t="s">
        <v>11</v>
      </c>
      <c r="W29" s="1483">
        <f t="shared" si="14"/>
        <v>100</v>
      </c>
      <c r="X29" s="1476"/>
      <c r="Y29" s="3662"/>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62"/>
      <c r="Q30" s="1481">
        <f t="shared" si="11"/>
        <v>111</v>
      </c>
      <c r="R30" s="1482" t="s">
        <v>11</v>
      </c>
      <c r="S30" s="1483">
        <f t="shared" si="12"/>
        <v>100</v>
      </c>
      <c r="T30" s="1482" t="s">
        <v>11</v>
      </c>
      <c r="U30" s="1483">
        <f t="shared" si="13"/>
        <v>100</v>
      </c>
      <c r="V30" s="1482" t="s">
        <v>11</v>
      </c>
      <c r="W30" s="1483">
        <f t="shared" si="14"/>
        <v>100</v>
      </c>
      <c r="X30" s="1476"/>
      <c r="Y30" s="3662"/>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62"/>
      <c r="Q31" s="1481">
        <f t="shared" si="11"/>
        <v>111</v>
      </c>
      <c r="R31" s="1482" t="s">
        <v>11</v>
      </c>
      <c r="S31" s="1483">
        <f t="shared" si="12"/>
        <v>100</v>
      </c>
      <c r="T31" s="1482" t="s">
        <v>11</v>
      </c>
      <c r="U31" s="1483">
        <f t="shared" si="13"/>
        <v>100</v>
      </c>
      <c r="V31" s="1482" t="s">
        <v>11</v>
      </c>
      <c r="W31" s="1483">
        <f t="shared" si="14"/>
        <v>100</v>
      </c>
      <c r="X31" s="1476"/>
      <c r="Y31" s="3662"/>
      <c r="Z31" s="1484">
        <f t="shared" si="15"/>
        <v>111</v>
      </c>
      <c r="AA31" s="1485">
        <f t="shared" si="3"/>
        <v>1</v>
      </c>
      <c r="AB31" s="1485">
        <f t="shared" si="4"/>
        <v>1</v>
      </c>
      <c r="AC31" s="1485">
        <f t="shared" si="5"/>
        <v>1</v>
      </c>
    </row>
    <row r="32" spans="1:29" ht="15">
      <c r="A32" s="2592" t="s">
        <v>2707</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63" t="s">
        <v>528</v>
      </c>
      <c r="Q32" s="1481" t="str">
        <f t="shared" si="11"/>
        <v>建筑类型</v>
      </c>
      <c r="R32" s="1482" t="s">
        <v>11</v>
      </c>
      <c r="S32" s="1483">
        <f t="shared" si="12"/>
        <v>100</v>
      </c>
      <c r="T32" s="1482" t="s">
        <v>11</v>
      </c>
      <c r="U32" s="1483">
        <f t="shared" si="13"/>
        <v>100</v>
      </c>
      <c r="V32" s="1482" t="s">
        <v>11</v>
      </c>
      <c r="W32" s="1483">
        <f t="shared" si="14"/>
        <v>100</v>
      </c>
      <c r="X32" s="1476"/>
      <c r="Y32" s="3664"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64"/>
      <c r="Q33" s="1510" t="str">
        <f t="shared" si="11"/>
        <v>项目建筑规模</v>
      </c>
      <c r="R33" s="1486" t="s">
        <v>11</v>
      </c>
      <c r="S33" s="1487" t="e">
        <f t="shared" si="12"/>
        <v>#N/A</v>
      </c>
      <c r="T33" s="1486" t="s">
        <v>11</v>
      </c>
      <c r="U33" s="1487" t="e">
        <f t="shared" si="13"/>
        <v>#N/A</v>
      </c>
      <c r="V33" s="1486" t="s">
        <v>11</v>
      </c>
      <c r="W33" s="1487" t="e">
        <f t="shared" si="14"/>
        <v>#N/A</v>
      </c>
      <c r="X33" s="1488"/>
      <c r="Y33" s="3664"/>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64"/>
      <c r="Q34" s="1481" t="str">
        <f t="shared" si="11"/>
        <v>建筑结构</v>
      </c>
      <c r="R34" s="1482" t="s">
        <v>11</v>
      </c>
      <c r="S34" s="1483">
        <f t="shared" si="12"/>
        <v>100</v>
      </c>
      <c r="T34" s="1482" t="s">
        <v>11</v>
      </c>
      <c r="U34" s="1483">
        <f t="shared" si="13"/>
        <v>100</v>
      </c>
      <c r="V34" s="1482" t="s">
        <v>11</v>
      </c>
      <c r="W34" s="1483">
        <f t="shared" si="14"/>
        <v>100</v>
      </c>
      <c r="X34" s="1476"/>
      <c r="Y34" s="3664"/>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64"/>
      <c r="Q35" s="1481" t="str">
        <f t="shared" si="11"/>
        <v>建筑品质</v>
      </c>
      <c r="R35" s="1482" t="s">
        <v>11</v>
      </c>
      <c r="S35" s="1483">
        <f t="shared" si="12"/>
        <v>100</v>
      </c>
      <c r="T35" s="1482" t="s">
        <v>11</v>
      </c>
      <c r="U35" s="1483">
        <f t="shared" si="13"/>
        <v>100</v>
      </c>
      <c r="V35" s="1482" t="s">
        <v>11</v>
      </c>
      <c r="W35" s="1483">
        <f t="shared" si="14"/>
        <v>100</v>
      </c>
      <c r="X35" s="1476"/>
      <c r="Y35" s="3664"/>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64"/>
      <c r="Q36" s="1481" t="str">
        <f t="shared" si="11"/>
        <v>公共部分装修</v>
      </c>
      <c r="R36" s="1482" t="s">
        <v>11</v>
      </c>
      <c r="S36" s="1483">
        <f t="shared" si="12"/>
        <v>100</v>
      </c>
      <c r="T36" s="1482" t="s">
        <v>11</v>
      </c>
      <c r="U36" s="1483">
        <f t="shared" si="13"/>
        <v>100</v>
      </c>
      <c r="V36" s="1482" t="s">
        <v>11</v>
      </c>
      <c r="W36" s="1483">
        <f t="shared" si="14"/>
        <v>100</v>
      </c>
      <c r="X36" s="1476"/>
      <c r="Y36" s="3664"/>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64"/>
      <c r="Q37" s="1116" t="str">
        <f t="shared" si="11"/>
        <v>成新度</v>
      </c>
      <c r="R37" s="1477" t="s">
        <v>11</v>
      </c>
      <c r="S37" s="1478" t="e">
        <f t="shared" si="12"/>
        <v>#N/A</v>
      </c>
      <c r="T37" s="1477" t="s">
        <v>11</v>
      </c>
      <c r="U37" s="1478" t="e">
        <f t="shared" si="13"/>
        <v>#N/A</v>
      </c>
      <c r="V37" s="1477" t="s">
        <v>11</v>
      </c>
      <c r="W37" s="1478" t="e">
        <f t="shared" si="14"/>
        <v>#N/A</v>
      </c>
      <c r="X37" s="1479"/>
      <c r="Y37" s="3664"/>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64" t="s">
        <v>528</v>
      </c>
      <c r="Q38" s="1481" t="str">
        <f t="shared" si="11"/>
        <v>物业管理</v>
      </c>
      <c r="R38" s="1482" t="s">
        <v>11</v>
      </c>
      <c r="S38" s="1483">
        <f t="shared" si="12"/>
        <v>100</v>
      </c>
      <c r="T38" s="1482" t="s">
        <v>11</v>
      </c>
      <c r="U38" s="1483">
        <f t="shared" si="13"/>
        <v>100</v>
      </c>
      <c r="V38" s="1482" t="s">
        <v>11</v>
      </c>
      <c r="W38" s="1483">
        <f t="shared" si="14"/>
        <v>100</v>
      </c>
      <c r="X38" s="1476"/>
      <c r="Y38" s="3664" t="s">
        <v>528</v>
      </c>
      <c r="Z38" s="1484" t="str">
        <f t="shared" si="15"/>
        <v>物业管理</v>
      </c>
      <c r="AA38" s="1485">
        <f t="shared" si="3"/>
        <v>1</v>
      </c>
      <c r="AB38" s="1485">
        <f t="shared" si="4"/>
        <v>1</v>
      </c>
      <c r="AC38" s="1485">
        <f t="shared" si="5"/>
        <v>1</v>
      </c>
    </row>
    <row r="39" spans="1:29" ht="15">
      <c r="A39" s="570"/>
      <c r="B39" s="1782" t="s">
        <v>2517</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64"/>
      <c r="Q39" s="1481" t="str">
        <f t="shared" si="11"/>
        <v>市政基础设施</v>
      </c>
      <c r="R39" s="1482" t="s">
        <v>11</v>
      </c>
      <c r="S39" s="1483">
        <f t="shared" si="12"/>
        <v>100</v>
      </c>
      <c r="T39" s="1482" t="s">
        <v>11</v>
      </c>
      <c r="U39" s="1483">
        <f t="shared" si="13"/>
        <v>100</v>
      </c>
      <c r="V39" s="1482" t="s">
        <v>11</v>
      </c>
      <c r="W39" s="1483">
        <f t="shared" si="14"/>
        <v>100</v>
      </c>
      <c r="X39" s="1476"/>
      <c r="Y39" s="3664"/>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64"/>
      <c r="Q40" s="1481" t="str">
        <f t="shared" si="11"/>
        <v>房型</v>
      </c>
      <c r="R40" s="1482" t="s">
        <v>11</v>
      </c>
      <c r="S40" s="1483">
        <f t="shared" si="12"/>
        <v>100</v>
      </c>
      <c r="T40" s="1482" t="s">
        <v>11</v>
      </c>
      <c r="U40" s="1483">
        <f t="shared" si="13"/>
        <v>100</v>
      </c>
      <c r="V40" s="1482" t="s">
        <v>11</v>
      </c>
      <c r="W40" s="1483">
        <f t="shared" si="14"/>
        <v>100</v>
      </c>
      <c r="X40" s="1476"/>
      <c r="Y40" s="3664"/>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64"/>
      <c r="Q41" s="1510" t="str">
        <f t="shared" si="11"/>
        <v>单套/主力户型建筑面积</v>
      </c>
      <c r="R41" s="1486" t="s">
        <v>11</v>
      </c>
      <c r="S41" s="1487">
        <f t="shared" si="12"/>
        <v>100</v>
      </c>
      <c r="T41" s="1486" t="s">
        <v>11</v>
      </c>
      <c r="U41" s="1487">
        <f t="shared" si="13"/>
        <v>100</v>
      </c>
      <c r="V41" s="1486" t="s">
        <v>11</v>
      </c>
      <c r="W41" s="1487">
        <f t="shared" si="14"/>
        <v>100</v>
      </c>
      <c r="X41" s="1488"/>
      <c r="Y41" s="3664"/>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64"/>
      <c r="Q42" s="1481" t="str">
        <f t="shared" si="11"/>
        <v>内部装修</v>
      </c>
      <c r="R42" s="1482" t="s">
        <v>11</v>
      </c>
      <c r="S42" s="1483">
        <f t="shared" si="12"/>
        <v>100</v>
      </c>
      <c r="T42" s="1482" t="s">
        <v>11</v>
      </c>
      <c r="U42" s="1483">
        <f t="shared" si="13"/>
        <v>100</v>
      </c>
      <c r="V42" s="1482" t="s">
        <v>11</v>
      </c>
      <c r="W42" s="1483">
        <f t="shared" si="14"/>
        <v>100</v>
      </c>
      <c r="X42" s="1476"/>
      <c r="Y42" s="3664"/>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64"/>
      <c r="Q43" s="1481" t="str">
        <f t="shared" si="11"/>
        <v>内部装修维护情况</v>
      </c>
      <c r="R43" s="1482" t="s">
        <v>11</v>
      </c>
      <c r="S43" s="1483">
        <f t="shared" si="12"/>
        <v>100</v>
      </c>
      <c r="T43" s="1482" t="s">
        <v>11</v>
      </c>
      <c r="U43" s="1483">
        <f t="shared" si="13"/>
        <v>100</v>
      </c>
      <c r="V43" s="1482" t="s">
        <v>11</v>
      </c>
      <c r="W43" s="1483">
        <f t="shared" si="14"/>
        <v>100</v>
      </c>
      <c r="X43" s="1476"/>
      <c r="Y43" s="3664"/>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64"/>
      <c r="Q44" s="1116">
        <f t="shared" si="11"/>
        <v>111</v>
      </c>
      <c r="R44" s="1477" t="s">
        <v>11</v>
      </c>
      <c r="S44" s="1478">
        <f t="shared" si="12"/>
        <v>100</v>
      </c>
      <c r="T44" s="1477" t="s">
        <v>11</v>
      </c>
      <c r="U44" s="1478">
        <f t="shared" si="13"/>
        <v>100</v>
      </c>
      <c r="V44" s="1477" t="s">
        <v>11</v>
      </c>
      <c r="W44" s="1478">
        <f t="shared" si="14"/>
        <v>100</v>
      </c>
      <c r="X44" s="1479"/>
      <c r="Y44" s="3664"/>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64"/>
      <c r="Q45" s="1481">
        <f t="shared" si="11"/>
        <v>111</v>
      </c>
      <c r="R45" s="1482" t="s">
        <v>11</v>
      </c>
      <c r="S45" s="1483">
        <f t="shared" si="12"/>
        <v>100</v>
      </c>
      <c r="T45" s="1482" t="s">
        <v>11</v>
      </c>
      <c r="U45" s="1483">
        <f t="shared" si="13"/>
        <v>100</v>
      </c>
      <c r="V45" s="1482" t="s">
        <v>11</v>
      </c>
      <c r="W45" s="1483">
        <f t="shared" si="14"/>
        <v>100</v>
      </c>
      <c r="X45" s="1476"/>
      <c r="Y45" s="3664"/>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765"/>
      <c r="Q46" s="1481">
        <f t="shared" si="11"/>
        <v>111</v>
      </c>
      <c r="R46" s="1482" t="s">
        <v>10</v>
      </c>
      <c r="S46" s="1483">
        <f t="shared" si="12"/>
        <v>100</v>
      </c>
      <c r="T46" s="1482" t="s">
        <v>10</v>
      </c>
      <c r="U46" s="1483">
        <f t="shared" si="13"/>
        <v>100</v>
      </c>
      <c r="V46" s="1482" t="s">
        <v>10</v>
      </c>
      <c r="W46" s="1483">
        <f t="shared" si="14"/>
        <v>100</v>
      </c>
      <c r="X46" s="1476"/>
      <c r="Y46" s="3765"/>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627" t="str">
        <f>A47</f>
        <v>成交单价（元/平方米）</v>
      </c>
      <c r="Q47" s="3627"/>
      <c r="R47" s="3764">
        <f>E47</f>
        <v>0</v>
      </c>
      <c r="S47" s="3764"/>
      <c r="T47" s="3764">
        <f>G47</f>
        <v>0</v>
      </c>
      <c r="U47" s="3764"/>
      <c r="V47" s="3764">
        <f>I47</f>
        <v>0</v>
      </c>
      <c r="W47" s="3764"/>
      <c r="X47" s="1471"/>
      <c r="Y47" s="1490"/>
      <c r="Z47" s="1471"/>
      <c r="AA47" s="1471"/>
      <c r="AB47" s="1471"/>
      <c r="AC47" s="1471"/>
    </row>
    <row r="48" spans="1:29" ht="15.75" thickBot="1">
      <c r="A48" s="591" t="s">
        <v>2712</v>
      </c>
      <c r="B48" s="859"/>
      <c r="C48" s="2444" t="e">
        <f>R49</f>
        <v>#DIV/0!</v>
      </c>
      <c r="D48" s="2980" t="s">
        <v>2936</v>
      </c>
      <c r="E48" s="2445" t="e">
        <f>R48</f>
        <v>#DIV/0!</v>
      </c>
      <c r="F48" s="2981"/>
      <c r="G48" s="2444" t="e">
        <f>T48</f>
        <v>#DIV/0!</v>
      </c>
      <c r="H48" s="2981"/>
      <c r="I48" s="2445" t="e">
        <f>V48</f>
        <v>#DIV/0!</v>
      </c>
      <c r="J48" s="2981"/>
      <c r="K48" s="2989">
        <f>F48+H48+J48</f>
        <v>0</v>
      </c>
      <c r="L48" s="1997"/>
      <c r="M48" s="1998"/>
      <c r="N48" s="1998"/>
      <c r="O48" s="1998"/>
      <c r="P48" s="3627" t="str">
        <f>A48</f>
        <v>比较价格（元/平方米）</v>
      </c>
      <c r="Q48" s="3627"/>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71"/>
      <c r="Y48" s="1471"/>
      <c r="Z48" s="1471"/>
      <c r="AA48" s="1471"/>
      <c r="AB48" s="1471"/>
      <c r="AC48" s="1471"/>
    </row>
    <row r="49" spans="1:29" ht="15.75" thickBot="1">
      <c r="A49" s="595" t="s">
        <v>2872</v>
      </c>
      <c r="B49" s="596"/>
      <c r="C49" s="2446" t="e">
        <f>R49</f>
        <v>#DIV/0!</v>
      </c>
      <c r="D49" s="2446"/>
      <c r="E49" s="2446"/>
      <c r="F49" s="2446"/>
      <c r="G49" s="2446"/>
      <c r="H49" s="2446"/>
      <c r="I49" s="2446"/>
      <c r="J49" s="2446"/>
      <c r="K49" s="1512"/>
      <c r="L49" s="1997"/>
      <c r="M49" s="1998"/>
      <c r="N49" s="1998"/>
      <c r="O49" s="1998"/>
      <c r="P49" s="3624" t="str">
        <f>A49</f>
        <v>估价对象XX用房的比较价格（楼面单价，元/平方米）</v>
      </c>
      <c r="Q49" s="3625"/>
      <c r="R49" s="3763" t="e">
        <f>IF(F1="售价",ROUND(IF(D48="简单平均",AVERAGE(R48:V48),R48*F48+T48*H48+V48*J48),0),ROUND(IF(D48="简单平均",AVERAGE(R48:V48),R48*F48+T48*H48+V48*J48),1))</f>
        <v>#DIV/0!</v>
      </c>
      <c r="S49" s="3763"/>
      <c r="T49" s="3763"/>
      <c r="U49" s="3763"/>
      <c r="V49" s="3763"/>
      <c r="W49" s="3763"/>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2510</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2511</v>
      </c>
      <c r="C82" s="2410" t="s">
        <v>2512</v>
      </c>
      <c r="D82" s="2410" t="s">
        <v>2513</v>
      </c>
      <c r="E82" s="2410" t="s">
        <v>2514</v>
      </c>
      <c r="F82" s="2410" t="s">
        <v>2515</v>
      </c>
      <c r="G82" s="2410" t="s">
        <v>2516</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2223</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2509</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2224</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2225</v>
      </c>
      <c r="C137" s="1806"/>
      <c r="D137" s="1806"/>
      <c r="E137" s="1806"/>
      <c r="F137" s="1806"/>
      <c r="G137" s="1807"/>
      <c r="H137" s="1808"/>
      <c r="I137" s="1809" t="s">
        <v>2226</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2227</v>
      </c>
      <c r="D138" s="1812" t="s">
        <v>2228</v>
      </c>
      <c r="E138" s="1813" t="s">
        <v>2229</v>
      </c>
      <c r="F138" s="1814" t="s">
        <v>2230</v>
      </c>
      <c r="G138" s="1812" t="s">
        <v>2231</v>
      </c>
      <c r="H138" s="1815" t="s">
        <v>2232</v>
      </c>
      <c r="I138" s="1816"/>
      <c r="J138" s="1812" t="s">
        <v>2233</v>
      </c>
      <c r="K138" s="1815" t="s">
        <v>2234</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2235</v>
      </c>
      <c r="E139" s="1786">
        <v>100</v>
      </c>
      <c r="F139" s="1787">
        <v>102.5</v>
      </c>
      <c r="G139" s="1817" t="s">
        <v>2236</v>
      </c>
      <c r="H139" s="1788">
        <v>105</v>
      </c>
      <c r="I139" s="1818" t="s">
        <v>2237</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2238</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2239</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2240</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2241</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2242</v>
      </c>
      <c r="E144" s="1792">
        <v>102</v>
      </c>
      <c r="F144" s="1798">
        <v>100</v>
      </c>
      <c r="G144" s="1821" t="s">
        <v>2242</v>
      </c>
      <c r="H144" s="1794">
        <v>105</v>
      </c>
      <c r="I144" s="1820" t="s">
        <v>2241</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2243</v>
      </c>
      <c r="C145" s="1799">
        <f>ROUND(MAX(C139:C144)/MIN(C139:C144)-1,3)</f>
        <v>7.2999999999999995E-2</v>
      </c>
      <c r="D145" s="1823"/>
      <c r="E145" s="1823"/>
      <c r="F145" s="1824" t="s">
        <v>2244</v>
      </c>
      <c r="G145" s="1825"/>
      <c r="H145" s="1826"/>
      <c r="I145" s="1827" t="s">
        <v>2241</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2252</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2253</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3" priority="19" stopIfTrue="1" operator="containsText" text="超过">
      <formula>NOT(ISERROR(SEARCH("超过",F52)))</formula>
    </cfRule>
  </conditionalFormatting>
  <conditionalFormatting sqref="J54">
    <cfRule type="containsText" dxfId="122" priority="18" stopIfTrue="1" operator="containsText" text="超过">
      <formula>NOT(ISERROR(SEARCH("超过",J54)))</formula>
    </cfRule>
  </conditionalFormatting>
  <conditionalFormatting sqref="H54">
    <cfRule type="containsText" dxfId="121" priority="17" stopIfTrue="1" operator="containsText" text="超过">
      <formula>NOT(ISERROR(SEARCH("超过",H54)))</formula>
    </cfRule>
  </conditionalFormatting>
  <conditionalFormatting sqref="F54">
    <cfRule type="containsText" dxfId="120" priority="16" stopIfTrue="1" operator="containsText" text="超过">
      <formula>NOT(ISERROR(SEARCH("超过",F54)))</formula>
    </cfRule>
  </conditionalFormatting>
  <conditionalFormatting sqref="F53 H53 J53">
    <cfRule type="containsText" dxfId="119" priority="15" stopIfTrue="1" operator="containsText" text="超过">
      <formula>NOT(ISERROR(SEARCH("超过",F53)))</formula>
    </cfRule>
  </conditionalFormatting>
  <conditionalFormatting sqref="E52">
    <cfRule type="expression" dxfId="118" priority="14" stopIfTrue="1">
      <formula>$F$52="超过30%"</formula>
    </cfRule>
  </conditionalFormatting>
  <conditionalFormatting sqref="G54">
    <cfRule type="expression" dxfId="117" priority="12" stopIfTrue="1">
      <formula>$H$54="超过30%"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633" t="s">
        <v>500</v>
      </c>
      <c r="D4" s="3634"/>
      <c r="E4" s="3667" t="s">
        <v>501</v>
      </c>
      <c r="F4" s="3668"/>
      <c r="G4" s="3633" t="s">
        <v>502</v>
      </c>
      <c r="H4" s="3634"/>
      <c r="I4" s="3633" t="s">
        <v>503</v>
      </c>
      <c r="J4" s="3634"/>
      <c r="K4" s="490" t="s">
        <v>504</v>
      </c>
      <c r="L4" s="1986"/>
      <c r="M4" s="1987"/>
      <c r="N4" s="1987"/>
      <c r="O4" s="1987"/>
      <c r="P4" s="3635" t="s">
        <v>505</v>
      </c>
      <c r="Q4" s="3636"/>
      <c r="R4" s="3641" t="s">
        <v>501</v>
      </c>
      <c r="S4" s="3642"/>
      <c r="T4" s="3641" t="s">
        <v>502</v>
      </c>
      <c r="U4" s="3642"/>
      <c r="V4" s="3628" t="s">
        <v>503</v>
      </c>
      <c r="W4" s="3628"/>
      <c r="X4" s="1476"/>
      <c r="Y4" s="3641" t="s">
        <v>505</v>
      </c>
      <c r="Z4" s="3642"/>
      <c r="AA4" s="3630" t="s">
        <v>501</v>
      </c>
      <c r="AB4" s="3628" t="s">
        <v>502</v>
      </c>
      <c r="AC4" s="3630" t="s">
        <v>503</v>
      </c>
    </row>
    <row r="5" spans="1:29" ht="15">
      <c r="A5" s="491"/>
      <c r="B5" s="492"/>
      <c r="C5" s="3649" t="s">
        <v>2866</v>
      </c>
      <c r="D5" s="3650"/>
      <c r="E5" s="3669" t="s">
        <v>2867</v>
      </c>
      <c r="F5" s="3670"/>
      <c r="G5" s="3649" t="s">
        <v>2868</v>
      </c>
      <c r="H5" s="3650"/>
      <c r="I5" s="3649" t="s">
        <v>2869</v>
      </c>
      <c r="J5" s="3650"/>
      <c r="K5" s="490"/>
      <c r="L5" s="1986"/>
      <c r="M5" s="1987"/>
      <c r="N5" s="1987"/>
      <c r="O5" s="1987"/>
      <c r="P5" s="3637"/>
      <c r="Q5" s="3638"/>
      <c r="R5" s="3643"/>
      <c r="S5" s="3644"/>
      <c r="T5" s="3643"/>
      <c r="U5" s="3644"/>
      <c r="V5" s="3628"/>
      <c r="W5" s="3628"/>
      <c r="X5" s="1476"/>
      <c r="Y5" s="3643"/>
      <c r="Z5" s="3644"/>
      <c r="AA5" s="3631"/>
      <c r="AB5" s="3628"/>
      <c r="AC5" s="3631"/>
    </row>
    <row r="6" spans="1:29" ht="15.75" thickBot="1">
      <c r="A6" s="493"/>
      <c r="B6" s="494"/>
      <c r="C6" s="3647" t="s">
        <v>2870</v>
      </c>
      <c r="D6" s="3648"/>
      <c r="E6" s="3665" t="s">
        <v>2870</v>
      </c>
      <c r="F6" s="3666"/>
      <c r="G6" s="3647" t="s">
        <v>2870</v>
      </c>
      <c r="H6" s="3648"/>
      <c r="I6" s="3647" t="s">
        <v>2870</v>
      </c>
      <c r="J6" s="3648"/>
      <c r="K6" s="490" t="s">
        <v>506</v>
      </c>
      <c r="L6" s="1986"/>
      <c r="M6" s="1987"/>
      <c r="N6" s="1987"/>
      <c r="O6" s="1987"/>
      <c r="P6" s="3639"/>
      <c r="Q6" s="3640"/>
      <c r="R6" s="3643"/>
      <c r="S6" s="3644"/>
      <c r="T6" s="3645"/>
      <c r="U6" s="3646"/>
      <c r="V6" s="3628"/>
      <c r="W6" s="3628"/>
      <c r="X6" s="1476"/>
      <c r="Y6" s="3645"/>
      <c r="Z6" s="3646"/>
      <c r="AA6" s="3632"/>
      <c r="AB6" s="3628"/>
      <c r="AC6" s="3632"/>
    </row>
    <row r="7" spans="1:29" s="1185" customFormat="1" ht="15.75" thickBot="1">
      <c r="A7" s="2597"/>
      <c r="B7" s="2604" t="s">
        <v>507</v>
      </c>
      <c r="C7" s="495">
        <f>'数据-取费表'!B2</f>
        <v>44622</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58" t="s">
        <v>508</v>
      </c>
      <c r="Q7" s="3660"/>
      <c r="R7" s="1477" t="s">
        <v>8</v>
      </c>
      <c r="S7" s="1478">
        <f t="shared" ref="S7:S15" si="0">F7</f>
        <v>0</v>
      </c>
      <c r="T7" s="1477" t="s">
        <v>8</v>
      </c>
      <c r="U7" s="1478">
        <f t="shared" ref="U7:U15" si="1">H7</f>
        <v>0</v>
      </c>
      <c r="V7" s="1477" t="s">
        <v>8</v>
      </c>
      <c r="W7" s="1478">
        <f t="shared" ref="W7:W15" si="2">J7</f>
        <v>0</v>
      </c>
      <c r="X7" s="1479"/>
      <c r="Y7" s="3658" t="s">
        <v>508</v>
      </c>
      <c r="Z7" s="3659"/>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58" t="s">
        <v>511</v>
      </c>
      <c r="Q8" s="3659"/>
      <c r="R8" s="1477" t="s">
        <v>8</v>
      </c>
      <c r="S8" s="1478">
        <f t="shared" si="0"/>
        <v>0</v>
      </c>
      <c r="T8" s="1477" t="s">
        <v>8</v>
      </c>
      <c r="U8" s="1478">
        <f t="shared" si="1"/>
        <v>0</v>
      </c>
      <c r="V8" s="1477" t="s">
        <v>8</v>
      </c>
      <c r="W8" s="1478">
        <f t="shared" si="2"/>
        <v>0</v>
      </c>
      <c r="X8" s="1479"/>
      <c r="Y8" s="3658" t="s">
        <v>511</v>
      </c>
      <c r="Z8" s="3659"/>
      <c r="AA8" s="1480" t="e">
        <f t="shared" ref="AA8:AA46" si="3">D8/F8</f>
        <v>#DIV/0!</v>
      </c>
      <c r="AB8" s="1480" t="e">
        <f t="shared" ref="AB8:AB46" si="4">D8/H8</f>
        <v>#DIV/0!</v>
      </c>
      <c r="AC8" s="1480" t="e">
        <f t="shared" ref="AC8:AC46" si="5">D8/J8</f>
        <v>#DIV/0!</v>
      </c>
    </row>
    <row r="9" spans="1:29" s="1185" customFormat="1" ht="15">
      <c r="A9" s="2599"/>
      <c r="B9" s="2606" t="s">
        <v>2708</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27" t="s">
        <v>513</v>
      </c>
      <c r="Q9" s="1116" t="str">
        <f t="shared" ref="Q9:Q15" si="6">B9</f>
        <v>用途</v>
      </c>
      <c r="R9" s="1477" t="s">
        <v>8</v>
      </c>
      <c r="S9" s="1478">
        <f t="shared" si="0"/>
        <v>100</v>
      </c>
      <c r="T9" s="1477" t="s">
        <v>8</v>
      </c>
      <c r="U9" s="1478">
        <f t="shared" si="1"/>
        <v>100</v>
      </c>
      <c r="V9" s="1477" t="s">
        <v>8</v>
      </c>
      <c r="W9" s="1478">
        <f t="shared" si="2"/>
        <v>100</v>
      </c>
      <c r="X9" s="1479"/>
      <c r="Y9" s="3569"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27"/>
      <c r="Q10" s="1116" t="str">
        <f t="shared" si="6"/>
        <v>土地使用年限（年）</v>
      </c>
      <c r="R10" s="1477" t="s">
        <v>8</v>
      </c>
      <c r="S10" s="1478">
        <f t="shared" si="0"/>
        <v>100</v>
      </c>
      <c r="T10" s="1477" t="s">
        <v>8</v>
      </c>
      <c r="U10" s="1478">
        <f t="shared" si="1"/>
        <v>100</v>
      </c>
      <c r="V10" s="1477" t="s">
        <v>8</v>
      </c>
      <c r="W10" s="1478">
        <f t="shared" si="2"/>
        <v>100</v>
      </c>
      <c r="X10" s="1479"/>
      <c r="Y10" s="3569"/>
      <c r="Z10" s="1115" t="str">
        <f t="shared" si="7"/>
        <v>土地使用年限（年）</v>
      </c>
      <c r="AA10" s="1480">
        <f t="shared" si="3"/>
        <v>1</v>
      </c>
      <c r="AB10" s="1480">
        <f t="shared" si="4"/>
        <v>1</v>
      </c>
      <c r="AC10" s="1480">
        <f t="shared" si="5"/>
        <v>1</v>
      </c>
    </row>
    <row r="11" spans="1:29" ht="15">
      <c r="A11" s="2601"/>
      <c r="B11" s="2605" t="s">
        <v>2710</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27"/>
      <c r="Q11" s="1116" t="str">
        <f t="shared" si="6"/>
        <v>容积率</v>
      </c>
      <c r="R11" s="1477" t="s">
        <v>8</v>
      </c>
      <c r="S11" s="1478" t="e">
        <f t="shared" si="0"/>
        <v>#N/A</v>
      </c>
      <c r="T11" s="1477" t="s">
        <v>8</v>
      </c>
      <c r="U11" s="1478" t="e">
        <f t="shared" si="1"/>
        <v>#N/A</v>
      </c>
      <c r="V11" s="1477" t="s">
        <v>8</v>
      </c>
      <c r="W11" s="1478" t="e">
        <f t="shared" si="2"/>
        <v>#N/A</v>
      </c>
      <c r="X11" s="1479"/>
      <c r="Y11" s="3569"/>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27"/>
      <c r="Q12" s="1116">
        <f t="shared" si="6"/>
        <v>111</v>
      </c>
      <c r="R12" s="1477" t="s">
        <v>8</v>
      </c>
      <c r="S12" s="1478">
        <f t="shared" si="0"/>
        <v>100</v>
      </c>
      <c r="T12" s="1477" t="s">
        <v>8</v>
      </c>
      <c r="U12" s="1478">
        <f t="shared" si="1"/>
        <v>100</v>
      </c>
      <c r="V12" s="1477" t="s">
        <v>8</v>
      </c>
      <c r="W12" s="1478">
        <f t="shared" si="2"/>
        <v>100</v>
      </c>
      <c r="X12" s="1479"/>
      <c r="Y12" s="3569"/>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27"/>
      <c r="Q13" s="1116">
        <f t="shared" si="6"/>
        <v>111</v>
      </c>
      <c r="R13" s="1477" t="s">
        <v>8</v>
      </c>
      <c r="S13" s="1478">
        <f t="shared" si="0"/>
        <v>100</v>
      </c>
      <c r="T13" s="1477" t="s">
        <v>8</v>
      </c>
      <c r="U13" s="1478">
        <f t="shared" si="1"/>
        <v>100</v>
      </c>
      <c r="V13" s="1477" t="s">
        <v>8</v>
      </c>
      <c r="W13" s="1478">
        <f t="shared" si="2"/>
        <v>100</v>
      </c>
      <c r="X13" s="1479"/>
      <c r="Y13" s="3569"/>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27"/>
      <c r="Q14" s="1116">
        <f t="shared" si="6"/>
        <v>111</v>
      </c>
      <c r="R14" s="1477" t="s">
        <v>8</v>
      </c>
      <c r="S14" s="1478">
        <f t="shared" si="0"/>
        <v>100</v>
      </c>
      <c r="T14" s="1477" t="s">
        <v>8</v>
      </c>
      <c r="U14" s="1478">
        <f t="shared" si="1"/>
        <v>100</v>
      </c>
      <c r="V14" s="1477" t="s">
        <v>8</v>
      </c>
      <c r="W14" s="1478">
        <f t="shared" si="2"/>
        <v>100</v>
      </c>
      <c r="X14" s="1479"/>
      <c r="Y14" s="3569"/>
      <c r="Z14" s="1115">
        <f t="shared" si="7"/>
        <v>111</v>
      </c>
      <c r="AA14" s="1480">
        <f t="shared" si="3"/>
        <v>1</v>
      </c>
      <c r="AB14" s="1480">
        <f t="shared" si="4"/>
        <v>1</v>
      </c>
      <c r="AC14" s="1480">
        <f t="shared" si="5"/>
        <v>1</v>
      </c>
    </row>
    <row r="15" spans="1:29" ht="71.25">
      <c r="A15" s="2595" t="s">
        <v>2706</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61" t="s">
        <v>518</v>
      </c>
      <c r="Q15" s="1481" t="str">
        <f t="shared" si="6"/>
        <v>商业繁华度</v>
      </c>
      <c r="R15" s="1482" t="s">
        <v>8</v>
      </c>
      <c r="S15" s="1483">
        <f t="shared" si="0"/>
        <v>100</v>
      </c>
      <c r="T15" s="1482" t="s">
        <v>8</v>
      </c>
      <c r="U15" s="1483">
        <f t="shared" si="1"/>
        <v>100</v>
      </c>
      <c r="V15" s="1482" t="s">
        <v>8</v>
      </c>
      <c r="W15" s="1483">
        <f t="shared" si="2"/>
        <v>100</v>
      </c>
      <c r="X15" s="1476"/>
      <c r="Y15" s="3661"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662"/>
      <c r="Q16" s="1481"/>
      <c r="R16" s="1482"/>
      <c r="S16" s="1483"/>
      <c r="T16" s="1482"/>
      <c r="U16" s="1483"/>
      <c r="V16" s="1482"/>
      <c r="W16" s="1483"/>
      <c r="X16" s="1476"/>
      <c r="Y16" s="3662"/>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62"/>
      <c r="Q17" s="1481" t="str">
        <f>B17</f>
        <v>交通便捷度</v>
      </c>
      <c r="R17" s="1482" t="s">
        <v>8</v>
      </c>
      <c r="S17" s="1483">
        <f>F17</f>
        <v>100</v>
      </c>
      <c r="T17" s="1482" t="s">
        <v>8</v>
      </c>
      <c r="U17" s="1483">
        <f>H17</f>
        <v>100</v>
      </c>
      <c r="V17" s="1482" t="s">
        <v>8</v>
      </c>
      <c r="W17" s="1483">
        <f>J17</f>
        <v>100</v>
      </c>
      <c r="X17" s="1476"/>
      <c r="Y17" s="3662"/>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662"/>
      <c r="Q18" s="1481"/>
      <c r="R18" s="1482"/>
      <c r="S18" s="1483"/>
      <c r="T18" s="1482"/>
      <c r="U18" s="1483"/>
      <c r="V18" s="1482"/>
      <c r="W18" s="1483"/>
      <c r="X18" s="1476"/>
      <c r="Y18" s="3662"/>
      <c r="Z18" s="1484"/>
      <c r="AA18" s="1485">
        <v>1</v>
      </c>
      <c r="AB18" s="1485">
        <v>1</v>
      </c>
      <c r="AC18" s="1485">
        <v>1</v>
      </c>
    </row>
    <row r="19" spans="1:29" ht="42.75">
      <c r="A19" s="508"/>
      <c r="B19" s="2412" t="s">
        <v>2499</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62"/>
      <c r="Q19" s="1481" t="str">
        <f>B19</f>
        <v>公共配套设施</v>
      </c>
      <c r="R19" s="1482" t="s">
        <v>8</v>
      </c>
      <c r="S19" s="1483">
        <f>F19</f>
        <v>100</v>
      </c>
      <c r="T19" s="1482" t="s">
        <v>8</v>
      </c>
      <c r="U19" s="1483">
        <f>H19</f>
        <v>100</v>
      </c>
      <c r="V19" s="1482" t="s">
        <v>8</v>
      </c>
      <c r="W19" s="1483">
        <f>J19</f>
        <v>100</v>
      </c>
      <c r="X19" s="1476"/>
      <c r="Y19" s="3662"/>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662"/>
      <c r="Q20" s="1481"/>
      <c r="R20" s="1482"/>
      <c r="S20" s="1483"/>
      <c r="T20" s="1482"/>
      <c r="U20" s="1483"/>
      <c r="V20" s="1482"/>
      <c r="W20" s="1483"/>
      <c r="X20" s="1476"/>
      <c r="Y20" s="3662"/>
      <c r="Z20" s="1484"/>
      <c r="AA20" s="1485">
        <v>1</v>
      </c>
      <c r="AB20" s="1485">
        <v>1</v>
      </c>
      <c r="AC20" s="1485">
        <v>1</v>
      </c>
    </row>
    <row r="21" spans="1:29" ht="28.5">
      <c r="A21" s="508"/>
      <c r="B21" s="2405" t="s">
        <v>2511</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62"/>
      <c r="Q21" s="2397" t="str">
        <f>B21</f>
        <v>基础设施水平</v>
      </c>
      <c r="R21" s="1482" t="s">
        <v>8</v>
      </c>
      <c r="S21" s="1483">
        <f>F21</f>
        <v>100</v>
      </c>
      <c r="T21" s="1482" t="s">
        <v>8</v>
      </c>
      <c r="U21" s="1483">
        <f>H21</f>
        <v>100</v>
      </c>
      <c r="V21" s="1482" t="s">
        <v>8</v>
      </c>
      <c r="W21" s="1483">
        <f>J21</f>
        <v>100</v>
      </c>
      <c r="X21" s="2399"/>
      <c r="Y21" s="3662"/>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662"/>
      <c r="Q22" s="2397"/>
      <c r="R22" s="1482"/>
      <c r="S22" s="1483"/>
      <c r="T22" s="1482"/>
      <c r="U22" s="1483"/>
      <c r="V22" s="1482"/>
      <c r="W22" s="1483"/>
      <c r="X22" s="2399"/>
      <c r="Y22" s="3662"/>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62"/>
      <c r="Q23" s="1481" t="str">
        <f>B23</f>
        <v>自然及人文环境</v>
      </c>
      <c r="R23" s="1482" t="s">
        <v>8</v>
      </c>
      <c r="S23" s="1483">
        <f>F23</f>
        <v>100</v>
      </c>
      <c r="T23" s="1482" t="s">
        <v>8</v>
      </c>
      <c r="U23" s="1483">
        <f>H23</f>
        <v>100</v>
      </c>
      <c r="V23" s="1482" t="s">
        <v>8</v>
      </c>
      <c r="W23" s="1483">
        <f>J23</f>
        <v>100</v>
      </c>
      <c r="X23" s="1476"/>
      <c r="Y23" s="3662"/>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662"/>
      <c r="Q24" s="1481"/>
      <c r="R24" s="1482"/>
      <c r="S24" s="1483"/>
      <c r="T24" s="1482"/>
      <c r="U24" s="1483"/>
      <c r="V24" s="1482"/>
      <c r="W24" s="1483"/>
      <c r="X24" s="1476"/>
      <c r="Y24" s="3662"/>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62"/>
      <c r="Q25" s="1481" t="str">
        <f t="shared" ref="Q25:Q46" si="11">B25</f>
        <v>临街状况</v>
      </c>
      <c r="R25" s="1482" t="s">
        <v>8</v>
      </c>
      <c r="S25" s="1483">
        <f>F25</f>
        <v>100</v>
      </c>
      <c r="T25" s="1482" t="s">
        <v>8</v>
      </c>
      <c r="U25" s="1483">
        <f>H25</f>
        <v>100</v>
      </c>
      <c r="V25" s="1482" t="s">
        <v>8</v>
      </c>
      <c r="W25" s="1483">
        <f>J25</f>
        <v>100</v>
      </c>
      <c r="X25" s="1476"/>
      <c r="Y25" s="3662"/>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62"/>
      <c r="Q26" s="1481" t="str">
        <f t="shared" si="11"/>
        <v>平面位置/可视性</v>
      </c>
      <c r="R26" s="1482" t="s">
        <v>8</v>
      </c>
      <c r="S26" s="1483">
        <f>F26</f>
        <v>100</v>
      </c>
      <c r="T26" s="1482" t="s">
        <v>8</v>
      </c>
      <c r="U26" s="1483">
        <f>H26</f>
        <v>100</v>
      </c>
      <c r="V26" s="1482" t="s">
        <v>8</v>
      </c>
      <c r="W26" s="1483">
        <f>J26</f>
        <v>100</v>
      </c>
      <c r="X26" s="1476"/>
      <c r="Y26" s="3662"/>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62"/>
      <c r="Q27" s="1116" t="str">
        <f t="shared" si="11"/>
        <v>人流量</v>
      </c>
      <c r="R27" s="1477" t="s">
        <v>8</v>
      </c>
      <c r="S27" s="1478">
        <f>F27</f>
        <v>100</v>
      </c>
      <c r="T27" s="1477" t="s">
        <v>8</v>
      </c>
      <c r="U27" s="1478">
        <f>H27</f>
        <v>100</v>
      </c>
      <c r="V27" s="1477" t="s">
        <v>8</v>
      </c>
      <c r="W27" s="1478">
        <f>J27</f>
        <v>100</v>
      </c>
      <c r="X27" s="1479"/>
      <c r="Y27" s="3662"/>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62"/>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62"/>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62"/>
      <c r="Q29" s="1481">
        <f t="shared" si="11"/>
        <v>111</v>
      </c>
      <c r="R29" s="1482" t="s">
        <v>8</v>
      </c>
      <c r="S29" s="1483">
        <f t="shared" si="12"/>
        <v>100</v>
      </c>
      <c r="T29" s="1482" t="s">
        <v>8</v>
      </c>
      <c r="U29" s="1483">
        <f t="shared" si="13"/>
        <v>100</v>
      </c>
      <c r="V29" s="1482" t="s">
        <v>8</v>
      </c>
      <c r="W29" s="1483">
        <f t="shared" si="14"/>
        <v>100</v>
      </c>
      <c r="X29" s="1476"/>
      <c r="Y29" s="3662"/>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62"/>
      <c r="Q30" s="1481">
        <f t="shared" si="11"/>
        <v>111</v>
      </c>
      <c r="R30" s="1482" t="s">
        <v>8</v>
      </c>
      <c r="S30" s="1483">
        <f t="shared" si="12"/>
        <v>100</v>
      </c>
      <c r="T30" s="1482" t="s">
        <v>8</v>
      </c>
      <c r="U30" s="1483">
        <f t="shared" si="13"/>
        <v>100</v>
      </c>
      <c r="V30" s="1482" t="s">
        <v>8</v>
      </c>
      <c r="W30" s="1483">
        <f t="shared" si="14"/>
        <v>100</v>
      </c>
      <c r="X30" s="1476"/>
      <c r="Y30" s="3662"/>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62"/>
      <c r="Q31" s="1481">
        <f t="shared" si="11"/>
        <v>111</v>
      </c>
      <c r="R31" s="1482" t="s">
        <v>8</v>
      </c>
      <c r="S31" s="1483">
        <f t="shared" si="12"/>
        <v>100</v>
      </c>
      <c r="T31" s="1482" t="s">
        <v>8</v>
      </c>
      <c r="U31" s="1483">
        <f t="shared" si="13"/>
        <v>100</v>
      </c>
      <c r="V31" s="1482" t="s">
        <v>8</v>
      </c>
      <c r="W31" s="1483">
        <f t="shared" si="14"/>
        <v>100</v>
      </c>
      <c r="X31" s="1476"/>
      <c r="Y31" s="3662"/>
      <c r="Z31" s="1484">
        <f t="shared" si="15"/>
        <v>111</v>
      </c>
      <c r="AA31" s="1485">
        <f t="shared" si="3"/>
        <v>1</v>
      </c>
      <c r="AB31" s="1485">
        <f t="shared" si="4"/>
        <v>1</v>
      </c>
      <c r="AC31" s="1485">
        <f t="shared" si="5"/>
        <v>1</v>
      </c>
    </row>
    <row r="32" spans="1:29" ht="15">
      <c r="A32" s="2592" t="s">
        <v>2707</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63" t="s">
        <v>528</v>
      </c>
      <c r="Q32" s="1481" t="str">
        <f t="shared" si="11"/>
        <v>商业类型</v>
      </c>
      <c r="R32" s="1482" t="s">
        <v>8</v>
      </c>
      <c r="S32" s="1483">
        <f t="shared" si="12"/>
        <v>100</v>
      </c>
      <c r="T32" s="1482" t="s">
        <v>8</v>
      </c>
      <c r="U32" s="1483">
        <f t="shared" si="13"/>
        <v>100</v>
      </c>
      <c r="V32" s="1482" t="s">
        <v>8</v>
      </c>
      <c r="W32" s="1483">
        <f t="shared" si="14"/>
        <v>100</v>
      </c>
      <c r="X32" s="1476"/>
      <c r="Y32" s="3664"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64"/>
      <c r="Q33" s="1510" t="str">
        <f t="shared" si="11"/>
        <v>项目建筑规模</v>
      </c>
      <c r="R33" s="1486" t="s">
        <v>8</v>
      </c>
      <c r="S33" s="1487" t="e">
        <f t="shared" si="12"/>
        <v>#N/A</v>
      </c>
      <c r="T33" s="1486" t="s">
        <v>8</v>
      </c>
      <c r="U33" s="1487" t="e">
        <f t="shared" si="13"/>
        <v>#N/A</v>
      </c>
      <c r="V33" s="1486" t="s">
        <v>8</v>
      </c>
      <c r="W33" s="1487" t="e">
        <f t="shared" si="14"/>
        <v>#N/A</v>
      </c>
      <c r="X33" s="1488"/>
      <c r="Y33" s="3664"/>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64"/>
      <c r="Q34" s="1481" t="str">
        <f t="shared" si="11"/>
        <v>建筑结构</v>
      </c>
      <c r="R34" s="1482" t="s">
        <v>8</v>
      </c>
      <c r="S34" s="1483">
        <f t="shared" si="12"/>
        <v>100</v>
      </c>
      <c r="T34" s="1482" t="s">
        <v>8</v>
      </c>
      <c r="U34" s="1483">
        <f t="shared" si="13"/>
        <v>100</v>
      </c>
      <c r="V34" s="1482" t="s">
        <v>8</v>
      </c>
      <c r="W34" s="1483">
        <f t="shared" si="14"/>
        <v>100</v>
      </c>
      <c r="X34" s="1476"/>
      <c r="Y34" s="3664"/>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64"/>
      <c r="Q35" s="1481" t="str">
        <f t="shared" si="11"/>
        <v>公共部分装修</v>
      </c>
      <c r="R35" s="1482" t="s">
        <v>8</v>
      </c>
      <c r="S35" s="1483">
        <f t="shared" si="12"/>
        <v>100</v>
      </c>
      <c r="T35" s="1482" t="s">
        <v>8</v>
      </c>
      <c r="U35" s="1483">
        <f t="shared" si="13"/>
        <v>100</v>
      </c>
      <c r="V35" s="1482" t="s">
        <v>8</v>
      </c>
      <c r="W35" s="1483">
        <f t="shared" si="14"/>
        <v>100</v>
      </c>
      <c r="X35" s="1476"/>
      <c r="Y35" s="3664"/>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64"/>
      <c r="Q36" s="1481" t="str">
        <f t="shared" si="11"/>
        <v>成新度</v>
      </c>
      <c r="R36" s="1482" t="s">
        <v>8</v>
      </c>
      <c r="S36" s="1483" t="e">
        <f t="shared" si="12"/>
        <v>#N/A</v>
      </c>
      <c r="T36" s="1482" t="s">
        <v>8</v>
      </c>
      <c r="U36" s="1483" t="e">
        <f t="shared" si="13"/>
        <v>#N/A</v>
      </c>
      <c r="V36" s="1482" t="s">
        <v>8</v>
      </c>
      <c r="W36" s="1483" t="e">
        <f t="shared" si="14"/>
        <v>#N/A</v>
      </c>
      <c r="X36" s="1476"/>
      <c r="Y36" s="3664"/>
      <c r="Z36" s="1484" t="str">
        <f t="shared" si="15"/>
        <v>成新度</v>
      </c>
      <c r="AA36" s="1485" t="e">
        <f t="shared" si="3"/>
        <v>#N/A</v>
      </c>
      <c r="AB36" s="1485" t="e">
        <f t="shared" si="4"/>
        <v>#N/A</v>
      </c>
      <c r="AC36" s="1485" t="e">
        <f t="shared" si="5"/>
        <v>#N/A</v>
      </c>
    </row>
    <row r="37" spans="1:29" s="1185" customFormat="1" ht="15">
      <c r="A37" s="576"/>
      <c r="B37" s="1782" t="s">
        <v>2518</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64"/>
      <c r="Q37" s="1116" t="str">
        <f t="shared" si="11"/>
        <v>市政基础设施</v>
      </c>
      <c r="R37" s="1477" t="s">
        <v>8</v>
      </c>
      <c r="S37" s="1478">
        <f t="shared" si="12"/>
        <v>100</v>
      </c>
      <c r="T37" s="1477" t="s">
        <v>8</v>
      </c>
      <c r="U37" s="1478">
        <f t="shared" si="13"/>
        <v>100</v>
      </c>
      <c r="V37" s="1477" t="s">
        <v>8</v>
      </c>
      <c r="W37" s="1478">
        <f t="shared" si="14"/>
        <v>100</v>
      </c>
      <c r="X37" s="1479"/>
      <c r="Y37" s="3664"/>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64" t="s">
        <v>744</v>
      </c>
      <c r="Q38" s="1481" t="str">
        <f t="shared" si="11"/>
        <v>业态</v>
      </c>
      <c r="R38" s="1482" t="s">
        <v>8</v>
      </c>
      <c r="S38" s="1483">
        <f t="shared" si="12"/>
        <v>100</v>
      </c>
      <c r="T38" s="1482" t="s">
        <v>8</v>
      </c>
      <c r="U38" s="1483">
        <f t="shared" si="13"/>
        <v>100</v>
      </c>
      <c r="V38" s="1482" t="s">
        <v>8</v>
      </c>
      <c r="W38" s="1483">
        <f t="shared" si="14"/>
        <v>100</v>
      </c>
      <c r="X38" s="1476"/>
      <c r="Y38" s="3664"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64"/>
      <c r="Q39" s="1481" t="str">
        <f t="shared" si="11"/>
        <v>层高</v>
      </c>
      <c r="R39" s="1482" t="s">
        <v>8</v>
      </c>
      <c r="S39" s="1483">
        <f t="shared" si="12"/>
        <v>100</v>
      </c>
      <c r="T39" s="1482" t="s">
        <v>8</v>
      </c>
      <c r="U39" s="1483">
        <f t="shared" si="13"/>
        <v>100</v>
      </c>
      <c r="V39" s="1482" t="s">
        <v>8</v>
      </c>
      <c r="W39" s="1483">
        <f t="shared" si="14"/>
        <v>100</v>
      </c>
      <c r="X39" s="1476"/>
      <c r="Y39" s="3664"/>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64"/>
      <c r="Q40" s="1481" t="str">
        <f t="shared" si="11"/>
        <v>单套建筑面积</v>
      </c>
      <c r="R40" s="1482" t="s">
        <v>8</v>
      </c>
      <c r="S40" s="1483">
        <f t="shared" si="12"/>
        <v>100</v>
      </c>
      <c r="T40" s="1482" t="s">
        <v>8</v>
      </c>
      <c r="U40" s="1483">
        <f t="shared" si="13"/>
        <v>100</v>
      </c>
      <c r="V40" s="1482" t="s">
        <v>8</v>
      </c>
      <c r="W40" s="1483">
        <f t="shared" si="14"/>
        <v>100</v>
      </c>
      <c r="X40" s="1476"/>
      <c r="Y40" s="3664"/>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64"/>
      <c r="Q41" s="1510" t="str">
        <f t="shared" si="11"/>
        <v>进深比</v>
      </c>
      <c r="R41" s="1486" t="s">
        <v>8</v>
      </c>
      <c r="S41" s="1487">
        <f t="shared" si="12"/>
        <v>100</v>
      </c>
      <c r="T41" s="1486" t="s">
        <v>8</v>
      </c>
      <c r="U41" s="1487">
        <f t="shared" si="13"/>
        <v>100</v>
      </c>
      <c r="V41" s="1486" t="s">
        <v>8</v>
      </c>
      <c r="W41" s="1487">
        <f t="shared" si="14"/>
        <v>100</v>
      </c>
      <c r="X41" s="1488"/>
      <c r="Y41" s="3664"/>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64"/>
      <c r="Q42" s="1481" t="str">
        <f t="shared" si="11"/>
        <v>内部装修</v>
      </c>
      <c r="R42" s="1482" t="s">
        <v>8</v>
      </c>
      <c r="S42" s="1483">
        <f t="shared" si="12"/>
        <v>100</v>
      </c>
      <c r="T42" s="1482" t="s">
        <v>8</v>
      </c>
      <c r="U42" s="1483">
        <f t="shared" si="13"/>
        <v>100</v>
      </c>
      <c r="V42" s="1482" t="s">
        <v>8</v>
      </c>
      <c r="W42" s="1483">
        <f t="shared" si="14"/>
        <v>100</v>
      </c>
      <c r="X42" s="1476"/>
      <c r="Y42" s="3664"/>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64"/>
      <c r="Q43" s="1481" t="str">
        <f t="shared" si="11"/>
        <v>内部装修维护情况</v>
      </c>
      <c r="R43" s="1482" t="s">
        <v>8</v>
      </c>
      <c r="S43" s="1483">
        <f t="shared" si="12"/>
        <v>100</v>
      </c>
      <c r="T43" s="1482" t="s">
        <v>8</v>
      </c>
      <c r="U43" s="1483">
        <f t="shared" si="13"/>
        <v>100</v>
      </c>
      <c r="V43" s="1482" t="s">
        <v>8</v>
      </c>
      <c r="W43" s="1483">
        <f t="shared" si="14"/>
        <v>100</v>
      </c>
      <c r="X43" s="1476"/>
      <c r="Y43" s="3664"/>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64"/>
      <c r="Q44" s="1116">
        <f t="shared" si="11"/>
        <v>111</v>
      </c>
      <c r="R44" s="1477" t="s">
        <v>8</v>
      </c>
      <c r="S44" s="1478">
        <f t="shared" si="12"/>
        <v>100</v>
      </c>
      <c r="T44" s="1477" t="s">
        <v>8</v>
      </c>
      <c r="U44" s="1478">
        <f t="shared" si="13"/>
        <v>100</v>
      </c>
      <c r="V44" s="1477" t="s">
        <v>8</v>
      </c>
      <c r="W44" s="1478">
        <f t="shared" si="14"/>
        <v>100</v>
      </c>
      <c r="X44" s="1479"/>
      <c r="Y44" s="3664"/>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64"/>
      <c r="Q45" s="1481">
        <f t="shared" si="11"/>
        <v>111</v>
      </c>
      <c r="R45" s="1482" t="s">
        <v>8</v>
      </c>
      <c r="S45" s="1483">
        <f t="shared" si="12"/>
        <v>100</v>
      </c>
      <c r="T45" s="1482" t="s">
        <v>8</v>
      </c>
      <c r="U45" s="1483">
        <f t="shared" si="13"/>
        <v>100</v>
      </c>
      <c r="V45" s="1482" t="s">
        <v>8</v>
      </c>
      <c r="W45" s="1483">
        <f t="shared" si="14"/>
        <v>100</v>
      </c>
      <c r="X45" s="1476"/>
      <c r="Y45" s="3664"/>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765"/>
      <c r="Q46" s="1481">
        <f t="shared" si="11"/>
        <v>111</v>
      </c>
      <c r="R46" s="1482" t="s">
        <v>8</v>
      </c>
      <c r="S46" s="1483">
        <f t="shared" si="12"/>
        <v>100</v>
      </c>
      <c r="T46" s="1482" t="s">
        <v>8</v>
      </c>
      <c r="U46" s="1483">
        <f t="shared" si="13"/>
        <v>100</v>
      </c>
      <c r="V46" s="1482" t="s">
        <v>8</v>
      </c>
      <c r="W46" s="1483">
        <f t="shared" si="14"/>
        <v>100</v>
      </c>
      <c r="X46" s="1476"/>
      <c r="Y46" s="3765"/>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627" t="str">
        <f>A47</f>
        <v>成交单价（元/平方米）</v>
      </c>
      <c r="Q47" s="3627"/>
      <c r="R47" s="3764">
        <f>E47</f>
        <v>0</v>
      </c>
      <c r="S47" s="3764"/>
      <c r="T47" s="3764">
        <f>G47</f>
        <v>0</v>
      </c>
      <c r="U47" s="3764"/>
      <c r="V47" s="3764">
        <f>I47</f>
        <v>0</v>
      </c>
      <c r="W47" s="3764"/>
      <c r="X47" s="1471"/>
      <c r="Y47" s="1490"/>
      <c r="Z47" s="1471"/>
      <c r="AA47" s="1471"/>
      <c r="AB47" s="1471"/>
      <c r="AC47" s="1471"/>
    </row>
    <row r="48" spans="1:29" ht="15.75" thickBot="1">
      <c r="A48" s="591" t="s">
        <v>2712</v>
      </c>
      <c r="B48" s="859"/>
      <c r="C48" s="2444" t="e">
        <f>R49</f>
        <v>#DIV/0!</v>
      </c>
      <c r="D48" s="2980" t="s">
        <v>2936</v>
      </c>
      <c r="E48" s="2445" t="e">
        <f>R48</f>
        <v>#DIV/0!</v>
      </c>
      <c r="F48" s="2981"/>
      <c r="G48" s="2444" t="e">
        <f>T48</f>
        <v>#DIV/0!</v>
      </c>
      <c r="H48" s="2981"/>
      <c r="I48" s="2445" t="e">
        <f>V48</f>
        <v>#DIV/0!</v>
      </c>
      <c r="J48" s="2981"/>
      <c r="K48" s="2989">
        <f>F48+H48+J48</f>
        <v>0</v>
      </c>
      <c r="L48" s="1997"/>
      <c r="M48" s="1998"/>
      <c r="N48" s="1987"/>
      <c r="O48" s="1998"/>
      <c r="P48" s="3627" t="str">
        <f>A48</f>
        <v>比较价格（元/平方米）</v>
      </c>
      <c r="Q48" s="3627"/>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71"/>
      <c r="Y48" s="1471"/>
      <c r="Z48" s="1471"/>
      <c r="AA48" s="1471"/>
      <c r="AB48" s="1471"/>
      <c r="AC48" s="1471"/>
    </row>
    <row r="49" spans="1:29" ht="15.75" thickBot="1">
      <c r="A49" s="595" t="s">
        <v>2872</v>
      </c>
      <c r="B49" s="596"/>
      <c r="C49" s="2446" t="e">
        <f>R49</f>
        <v>#DIV/0!</v>
      </c>
      <c r="D49" s="2446"/>
      <c r="E49" s="2446"/>
      <c r="F49" s="2446"/>
      <c r="G49" s="2446"/>
      <c r="H49" s="2446"/>
      <c r="I49" s="2446"/>
      <c r="J49" s="2446"/>
      <c r="K49" s="1516"/>
      <c r="L49" s="1997"/>
      <c r="M49" s="1998"/>
      <c r="N49" s="1987"/>
      <c r="O49" s="1998"/>
      <c r="P49" s="3624" t="str">
        <f>A49</f>
        <v>估价对象XX用房的比较价格（楼面单价，元/平方米）</v>
      </c>
      <c r="Q49" s="3625"/>
      <c r="R49" s="3763" t="e">
        <f>IF(F1="售价",ROUND(IF(D48="简单平均",AVERAGE(R48:V48),R48*F48+T48*H48+V48*J48),0),ROUND(IF(D48="简单平均",AVERAGE(R48:V48),R48*F48+T48*H48+V48*J48),1))</f>
        <v>#DIV/0!</v>
      </c>
      <c r="S49" s="3763"/>
      <c r="T49" s="3763"/>
      <c r="U49" s="3763"/>
      <c r="V49" s="3763"/>
      <c r="W49" s="3763"/>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2510</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2511</v>
      </c>
      <c r="C82" s="2410" t="s">
        <v>2512</v>
      </c>
      <c r="D82" s="2410" t="s">
        <v>2513</v>
      </c>
      <c r="E82" s="2410" t="s">
        <v>2514</v>
      </c>
      <c r="F82" s="2410" t="s">
        <v>2515</v>
      </c>
      <c r="G82" s="2410" t="s">
        <v>2516</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2509</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3633" t="s">
        <v>500</v>
      </c>
      <c r="D4" s="3634"/>
      <c r="E4" s="3667" t="s">
        <v>501</v>
      </c>
      <c r="F4" s="3668"/>
      <c r="G4" s="3633" t="s">
        <v>502</v>
      </c>
      <c r="H4" s="3634"/>
      <c r="I4" s="3633" t="s">
        <v>503</v>
      </c>
      <c r="J4" s="3634"/>
      <c r="K4" s="490" t="s">
        <v>504</v>
      </c>
      <c r="L4" s="1986"/>
      <c r="M4" s="1987"/>
      <c r="N4" s="1987"/>
      <c r="O4" s="1987"/>
      <c r="P4" s="3767" t="s">
        <v>505</v>
      </c>
      <c r="Q4" s="3636"/>
      <c r="R4" s="3641" t="s">
        <v>501</v>
      </c>
      <c r="S4" s="3642"/>
      <c r="T4" s="3641" t="s">
        <v>502</v>
      </c>
      <c r="U4" s="3642"/>
      <c r="V4" s="3628" t="s">
        <v>503</v>
      </c>
      <c r="W4" s="3628"/>
      <c r="X4" s="1476"/>
      <c r="Y4" s="3641" t="s">
        <v>505</v>
      </c>
      <c r="Z4" s="3642"/>
      <c r="AA4" s="3630" t="s">
        <v>501</v>
      </c>
      <c r="AB4" s="3630" t="s">
        <v>502</v>
      </c>
      <c r="AC4" s="3630" t="s">
        <v>503</v>
      </c>
    </row>
    <row r="5" spans="1:29" ht="15">
      <c r="A5" s="491"/>
      <c r="B5" s="492"/>
      <c r="C5" s="3649" t="s">
        <v>2866</v>
      </c>
      <c r="D5" s="3650"/>
      <c r="E5" s="3669" t="s">
        <v>2867</v>
      </c>
      <c r="F5" s="3670"/>
      <c r="G5" s="3649" t="s">
        <v>2868</v>
      </c>
      <c r="H5" s="3650"/>
      <c r="I5" s="3649" t="s">
        <v>2869</v>
      </c>
      <c r="J5" s="3650"/>
      <c r="K5" s="490"/>
      <c r="L5" s="1986"/>
      <c r="M5" s="1987"/>
      <c r="N5" s="1987"/>
      <c r="O5" s="1987"/>
      <c r="P5" s="3768"/>
      <c r="Q5" s="3638"/>
      <c r="R5" s="3643"/>
      <c r="S5" s="3644"/>
      <c r="T5" s="3643"/>
      <c r="U5" s="3644"/>
      <c r="V5" s="3628"/>
      <c r="W5" s="3628"/>
      <c r="X5" s="1476"/>
      <c r="Y5" s="3643"/>
      <c r="Z5" s="3644"/>
      <c r="AA5" s="3631"/>
      <c r="AB5" s="3631"/>
      <c r="AC5" s="3631"/>
    </row>
    <row r="6" spans="1:29" ht="15.75" thickBot="1">
      <c r="A6" s="493"/>
      <c r="B6" s="494"/>
      <c r="C6" s="3647" t="s">
        <v>2870</v>
      </c>
      <c r="D6" s="3648"/>
      <c r="E6" s="3665" t="s">
        <v>2870</v>
      </c>
      <c r="F6" s="3666"/>
      <c r="G6" s="3647" t="s">
        <v>2870</v>
      </c>
      <c r="H6" s="3648"/>
      <c r="I6" s="3647" t="s">
        <v>2870</v>
      </c>
      <c r="J6" s="3648"/>
      <c r="K6" s="490" t="s">
        <v>506</v>
      </c>
      <c r="L6" s="1986"/>
      <c r="M6" s="1987"/>
      <c r="N6" s="1987"/>
      <c r="O6" s="1987"/>
      <c r="P6" s="3769"/>
      <c r="Q6" s="3640"/>
      <c r="R6" s="3643"/>
      <c r="S6" s="3644"/>
      <c r="T6" s="3645"/>
      <c r="U6" s="3646"/>
      <c r="V6" s="3628"/>
      <c r="W6" s="3628"/>
      <c r="X6" s="1476"/>
      <c r="Y6" s="3645"/>
      <c r="Z6" s="3646"/>
      <c r="AA6" s="3632"/>
      <c r="AB6" s="3632"/>
      <c r="AC6" s="3632"/>
    </row>
    <row r="7" spans="1:29" s="1185" customFormat="1" ht="15.75" thickBot="1">
      <c r="A7" s="2597"/>
      <c r="B7" s="2604" t="s">
        <v>507</v>
      </c>
      <c r="C7" s="495">
        <f>'数据-取费表'!B2</f>
        <v>44622</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60" t="s">
        <v>508</v>
      </c>
      <c r="Q7" s="3660"/>
      <c r="R7" s="1477" t="s">
        <v>8</v>
      </c>
      <c r="S7" s="1478">
        <f t="shared" ref="S7:S15" si="0">F7</f>
        <v>0</v>
      </c>
      <c r="T7" s="1477" t="s">
        <v>8</v>
      </c>
      <c r="U7" s="1478">
        <f t="shared" ref="U7:U15" si="1">H7</f>
        <v>0</v>
      </c>
      <c r="V7" s="1477" t="s">
        <v>8</v>
      </c>
      <c r="W7" s="1478">
        <f t="shared" ref="W7:W15" si="2">J7</f>
        <v>0</v>
      </c>
      <c r="X7" s="1479"/>
      <c r="Y7" s="3658" t="s">
        <v>508</v>
      </c>
      <c r="Z7" s="3659"/>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60" t="s">
        <v>511</v>
      </c>
      <c r="Q8" s="3659"/>
      <c r="R8" s="1477" t="s">
        <v>8</v>
      </c>
      <c r="S8" s="1478">
        <f t="shared" si="0"/>
        <v>0</v>
      </c>
      <c r="T8" s="1477" t="s">
        <v>8</v>
      </c>
      <c r="U8" s="1478">
        <f t="shared" si="1"/>
        <v>0</v>
      </c>
      <c r="V8" s="1477" t="s">
        <v>8</v>
      </c>
      <c r="W8" s="1478">
        <f t="shared" si="2"/>
        <v>0</v>
      </c>
      <c r="X8" s="1479"/>
      <c r="Y8" s="3658" t="s">
        <v>511</v>
      </c>
      <c r="Z8" s="3659"/>
      <c r="AA8" s="1480" t="e">
        <f t="shared" ref="AA8:AA47" si="3">D8/F8</f>
        <v>#DIV/0!</v>
      </c>
      <c r="AB8" s="1480" t="e">
        <f t="shared" ref="AB8:AB47" si="4">D8/H8</f>
        <v>#DIV/0!</v>
      </c>
      <c r="AC8" s="1480" t="e">
        <f t="shared" ref="AC8:AC47" si="5">D8/J8</f>
        <v>#DIV/0!</v>
      </c>
    </row>
    <row r="9" spans="1:29" s="1185" customFormat="1" ht="15">
      <c r="A9" s="2599"/>
      <c r="B9" s="2606" t="s">
        <v>2708</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27" t="s">
        <v>513</v>
      </c>
      <c r="Q9" s="1116" t="str">
        <f t="shared" ref="Q9:Q15" si="6">B9</f>
        <v>用途</v>
      </c>
      <c r="R9" s="1477" t="s">
        <v>8</v>
      </c>
      <c r="S9" s="1478">
        <f t="shared" si="0"/>
        <v>100</v>
      </c>
      <c r="T9" s="1477" t="s">
        <v>8</v>
      </c>
      <c r="U9" s="1478">
        <f t="shared" si="1"/>
        <v>100</v>
      </c>
      <c r="V9" s="1477" t="s">
        <v>8</v>
      </c>
      <c r="W9" s="1478">
        <f t="shared" si="2"/>
        <v>100</v>
      </c>
      <c r="X9" s="1479"/>
      <c r="Y9" s="3569"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27"/>
      <c r="Q10" s="1116" t="str">
        <f t="shared" si="6"/>
        <v>土地使用年限（年）</v>
      </c>
      <c r="R10" s="1477" t="s">
        <v>8</v>
      </c>
      <c r="S10" s="1478">
        <f t="shared" si="0"/>
        <v>100</v>
      </c>
      <c r="T10" s="1477" t="s">
        <v>8</v>
      </c>
      <c r="U10" s="1478">
        <f t="shared" si="1"/>
        <v>100</v>
      </c>
      <c r="V10" s="1477" t="s">
        <v>8</v>
      </c>
      <c r="W10" s="1478">
        <f t="shared" si="2"/>
        <v>100</v>
      </c>
      <c r="X10" s="1479"/>
      <c r="Y10" s="3569"/>
      <c r="Z10" s="1115" t="str">
        <f t="shared" si="7"/>
        <v>土地使用年限（年）</v>
      </c>
      <c r="AA10" s="1480">
        <f t="shared" si="3"/>
        <v>1</v>
      </c>
      <c r="AB10" s="1480">
        <f t="shared" si="4"/>
        <v>1</v>
      </c>
      <c r="AC10" s="1480">
        <f t="shared" si="5"/>
        <v>1</v>
      </c>
    </row>
    <row r="11" spans="1:29" ht="15">
      <c r="A11" s="2601"/>
      <c r="B11" s="2605" t="s">
        <v>2710</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27"/>
      <c r="Q11" s="1116" t="str">
        <f t="shared" si="6"/>
        <v>容积率</v>
      </c>
      <c r="R11" s="1477" t="s">
        <v>8</v>
      </c>
      <c r="S11" s="1478" t="e">
        <f t="shared" si="0"/>
        <v>#N/A</v>
      </c>
      <c r="T11" s="1477" t="s">
        <v>8</v>
      </c>
      <c r="U11" s="1478" t="e">
        <f t="shared" si="1"/>
        <v>#N/A</v>
      </c>
      <c r="V11" s="1477" t="s">
        <v>8</v>
      </c>
      <c r="W11" s="1478" t="e">
        <f t="shared" si="2"/>
        <v>#N/A</v>
      </c>
      <c r="X11" s="1479"/>
      <c r="Y11" s="3569"/>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27"/>
      <c r="Q12" s="1116">
        <f t="shared" si="6"/>
        <v>111</v>
      </c>
      <c r="R12" s="1477" t="s">
        <v>8</v>
      </c>
      <c r="S12" s="1478">
        <f t="shared" si="0"/>
        <v>100</v>
      </c>
      <c r="T12" s="1477" t="s">
        <v>8</v>
      </c>
      <c r="U12" s="1478">
        <f t="shared" si="1"/>
        <v>100</v>
      </c>
      <c r="V12" s="1477" t="s">
        <v>8</v>
      </c>
      <c r="W12" s="1478">
        <f t="shared" si="2"/>
        <v>100</v>
      </c>
      <c r="X12" s="1479"/>
      <c r="Y12" s="3569"/>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27"/>
      <c r="Q13" s="1116">
        <f t="shared" si="6"/>
        <v>111</v>
      </c>
      <c r="R13" s="1477" t="s">
        <v>8</v>
      </c>
      <c r="S13" s="1478">
        <f t="shared" si="0"/>
        <v>100</v>
      </c>
      <c r="T13" s="1477" t="s">
        <v>8</v>
      </c>
      <c r="U13" s="1478">
        <f t="shared" si="1"/>
        <v>100</v>
      </c>
      <c r="V13" s="1477" t="s">
        <v>8</v>
      </c>
      <c r="W13" s="1478">
        <f t="shared" si="2"/>
        <v>100</v>
      </c>
      <c r="X13" s="1479"/>
      <c r="Y13" s="3569"/>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27"/>
      <c r="Q14" s="1116">
        <f t="shared" si="6"/>
        <v>111</v>
      </c>
      <c r="R14" s="1477" t="s">
        <v>8</v>
      </c>
      <c r="S14" s="1478">
        <f t="shared" si="0"/>
        <v>100</v>
      </c>
      <c r="T14" s="1477" t="s">
        <v>8</v>
      </c>
      <c r="U14" s="1478">
        <f t="shared" si="1"/>
        <v>100</v>
      </c>
      <c r="V14" s="1477" t="s">
        <v>8</v>
      </c>
      <c r="W14" s="1478">
        <f t="shared" si="2"/>
        <v>100</v>
      </c>
      <c r="X14" s="1479"/>
      <c r="Y14" s="3569"/>
      <c r="Z14" s="1115">
        <f t="shared" si="7"/>
        <v>111</v>
      </c>
      <c r="AA14" s="1480">
        <f t="shared" si="3"/>
        <v>1</v>
      </c>
      <c r="AB14" s="1480">
        <f t="shared" si="4"/>
        <v>1</v>
      </c>
      <c r="AC14" s="1480">
        <f t="shared" si="5"/>
        <v>1</v>
      </c>
    </row>
    <row r="15" spans="1:29" ht="71.25">
      <c r="A15" s="2595" t="s">
        <v>2706</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61" t="s">
        <v>518</v>
      </c>
      <c r="Q15" s="1481" t="str">
        <f t="shared" si="6"/>
        <v>办公集聚程度</v>
      </c>
      <c r="R15" s="1482" t="s">
        <v>8</v>
      </c>
      <c r="S15" s="1483">
        <f t="shared" si="0"/>
        <v>100</v>
      </c>
      <c r="T15" s="1482" t="s">
        <v>8</v>
      </c>
      <c r="U15" s="1483">
        <f t="shared" si="1"/>
        <v>100</v>
      </c>
      <c r="V15" s="1482" t="s">
        <v>8</v>
      </c>
      <c r="W15" s="1483">
        <f t="shared" si="2"/>
        <v>100</v>
      </c>
      <c r="X15" s="1476"/>
      <c r="Y15" s="3661"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662"/>
      <c r="Q16" s="1481"/>
      <c r="R16" s="1482"/>
      <c r="S16" s="1483"/>
      <c r="T16" s="1482"/>
      <c r="U16" s="1483"/>
      <c r="V16" s="1482"/>
      <c r="W16" s="1483"/>
      <c r="X16" s="1476"/>
      <c r="Y16" s="3662"/>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62"/>
      <c r="Q17" s="1481" t="str">
        <f>B17</f>
        <v>交通便捷度</v>
      </c>
      <c r="R17" s="1482" t="s">
        <v>8</v>
      </c>
      <c r="S17" s="1483">
        <f>F17</f>
        <v>100</v>
      </c>
      <c r="T17" s="1482" t="s">
        <v>8</v>
      </c>
      <c r="U17" s="1483">
        <f>H17</f>
        <v>100</v>
      </c>
      <c r="V17" s="1482" t="s">
        <v>8</v>
      </c>
      <c r="W17" s="1483">
        <f>J17</f>
        <v>100</v>
      </c>
      <c r="X17" s="1476"/>
      <c r="Y17" s="3662"/>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662"/>
      <c r="Q18" s="1481"/>
      <c r="R18" s="1482"/>
      <c r="S18" s="1483"/>
      <c r="T18" s="1482"/>
      <c r="U18" s="1483"/>
      <c r="V18" s="1482"/>
      <c r="W18" s="1483"/>
      <c r="X18" s="1476"/>
      <c r="Y18" s="3662"/>
      <c r="Z18" s="1484"/>
      <c r="AA18" s="1485">
        <v>1</v>
      </c>
      <c r="AB18" s="1485">
        <v>1</v>
      </c>
      <c r="AC18" s="1485">
        <v>1</v>
      </c>
    </row>
    <row r="19" spans="1:29" ht="42.75">
      <c r="A19" s="508"/>
      <c r="B19" s="2415" t="s">
        <v>2499</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62"/>
      <c r="Q19" s="1481" t="str">
        <f>B19</f>
        <v>公共配套设施</v>
      </c>
      <c r="R19" s="1482" t="s">
        <v>8</v>
      </c>
      <c r="S19" s="1483">
        <f>F19</f>
        <v>100</v>
      </c>
      <c r="T19" s="1482" t="s">
        <v>8</v>
      </c>
      <c r="U19" s="1483">
        <f>H19</f>
        <v>100</v>
      </c>
      <c r="V19" s="1482" t="s">
        <v>8</v>
      </c>
      <c r="W19" s="1483">
        <f>J19</f>
        <v>100</v>
      </c>
      <c r="X19" s="1476"/>
      <c r="Y19" s="3662"/>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662"/>
      <c r="Q20" s="1481"/>
      <c r="R20" s="1482"/>
      <c r="S20" s="1483"/>
      <c r="T20" s="1482"/>
      <c r="U20" s="1483"/>
      <c r="V20" s="1482"/>
      <c r="W20" s="1483"/>
      <c r="X20" s="1476"/>
      <c r="Y20" s="3662"/>
      <c r="Z20" s="1484"/>
      <c r="AA20" s="1485">
        <v>1</v>
      </c>
      <c r="AB20" s="1485">
        <v>1</v>
      </c>
      <c r="AC20" s="1485">
        <v>1</v>
      </c>
    </row>
    <row r="21" spans="1:29" ht="28.5">
      <c r="A21" s="508"/>
      <c r="B21" s="2403" t="s">
        <v>2511</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62"/>
      <c r="Q21" s="2397" t="str">
        <f>B21</f>
        <v>基础设施水平</v>
      </c>
      <c r="R21" s="1482" t="s">
        <v>8</v>
      </c>
      <c r="S21" s="1483">
        <f>F21</f>
        <v>100</v>
      </c>
      <c r="T21" s="1482" t="s">
        <v>8</v>
      </c>
      <c r="U21" s="1483">
        <f>H21</f>
        <v>100</v>
      </c>
      <c r="V21" s="1482" t="s">
        <v>8</v>
      </c>
      <c r="W21" s="1483">
        <f>J21</f>
        <v>100</v>
      </c>
      <c r="X21" s="2399"/>
      <c r="Y21" s="3662"/>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662"/>
      <c r="Q22" s="2397"/>
      <c r="R22" s="1482"/>
      <c r="S22" s="1483"/>
      <c r="T22" s="1482"/>
      <c r="U22" s="1483"/>
      <c r="V22" s="1482"/>
      <c r="W22" s="1483"/>
      <c r="X22" s="2399"/>
      <c r="Y22" s="3662"/>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62"/>
      <c r="Q23" s="1481" t="str">
        <f>B23</f>
        <v>环境质量</v>
      </c>
      <c r="R23" s="1482" t="s">
        <v>8</v>
      </c>
      <c r="S23" s="1483">
        <f>F23</f>
        <v>100</v>
      </c>
      <c r="T23" s="1482" t="s">
        <v>8</v>
      </c>
      <c r="U23" s="1483">
        <f>H23</f>
        <v>100</v>
      </c>
      <c r="V23" s="1482" t="s">
        <v>8</v>
      </c>
      <c r="W23" s="1483">
        <f>J23</f>
        <v>100</v>
      </c>
      <c r="X23" s="1476"/>
      <c r="Y23" s="3662"/>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662"/>
      <c r="Q24" s="1481"/>
      <c r="R24" s="1482"/>
      <c r="S24" s="1483"/>
      <c r="T24" s="1482"/>
      <c r="U24" s="1483"/>
      <c r="V24" s="1482"/>
      <c r="W24" s="1483"/>
      <c r="X24" s="1476"/>
      <c r="Y24" s="3662"/>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62"/>
      <c r="Q25" s="1481" t="str">
        <f>B25</f>
        <v>毗邻道路的类型与等级</v>
      </c>
      <c r="R25" s="1482" t="s">
        <v>8</v>
      </c>
      <c r="S25" s="1483">
        <f>F25</f>
        <v>100</v>
      </c>
      <c r="T25" s="1482" t="s">
        <v>8</v>
      </c>
      <c r="U25" s="1483">
        <f>H25</f>
        <v>100</v>
      </c>
      <c r="V25" s="1482" t="s">
        <v>8</v>
      </c>
      <c r="W25" s="1483">
        <f>J25</f>
        <v>100</v>
      </c>
      <c r="X25" s="1476"/>
      <c r="Y25" s="3662"/>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662"/>
      <c r="Q26" s="1481"/>
      <c r="R26" s="1482"/>
      <c r="S26" s="1483"/>
      <c r="T26" s="1482"/>
      <c r="U26" s="1483"/>
      <c r="V26" s="1482"/>
      <c r="W26" s="1483"/>
      <c r="X26" s="1476"/>
      <c r="Y26" s="3662"/>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62"/>
      <c r="Q27" s="1481" t="str">
        <f t="shared" ref="Q27:Q47" si="11">B27</f>
        <v>楼层</v>
      </c>
      <c r="R27" s="1482" t="s">
        <v>8</v>
      </c>
      <c r="S27" s="1483">
        <f>F27</f>
        <v>100</v>
      </c>
      <c r="T27" s="1482" t="s">
        <v>8</v>
      </c>
      <c r="U27" s="1483">
        <f>H27</f>
        <v>100</v>
      </c>
      <c r="V27" s="1482" t="s">
        <v>8</v>
      </c>
      <c r="W27" s="1483">
        <f>J27</f>
        <v>100</v>
      </c>
      <c r="X27" s="1476"/>
      <c r="Y27" s="3662"/>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62"/>
      <c r="Q28" s="1116" t="str">
        <f t="shared" si="11"/>
        <v>朝向</v>
      </c>
      <c r="R28" s="1477" t="s">
        <v>8</v>
      </c>
      <c r="S28" s="1478">
        <f>F28</f>
        <v>100</v>
      </c>
      <c r="T28" s="1477" t="s">
        <v>8</v>
      </c>
      <c r="U28" s="1478">
        <f>H28</f>
        <v>100</v>
      </c>
      <c r="V28" s="1477" t="s">
        <v>8</v>
      </c>
      <c r="W28" s="1478">
        <f>J28</f>
        <v>100</v>
      </c>
      <c r="X28" s="1479"/>
      <c r="Y28" s="3662"/>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62"/>
      <c r="Q29" s="1481">
        <f t="shared" si="11"/>
        <v>111</v>
      </c>
      <c r="R29" s="1482" t="s">
        <v>8</v>
      </c>
      <c r="S29" s="1483">
        <f t="shared" ref="S29:S47" si="12">F29</f>
        <v>100</v>
      </c>
      <c r="T29" s="1482" t="s">
        <v>8</v>
      </c>
      <c r="U29" s="1483">
        <f t="shared" ref="U29:U47" si="13">H29</f>
        <v>100</v>
      </c>
      <c r="V29" s="1482" t="s">
        <v>8</v>
      </c>
      <c r="W29" s="1483">
        <f t="shared" ref="W29:W47" si="14">J29</f>
        <v>100</v>
      </c>
      <c r="X29" s="1476"/>
      <c r="Y29" s="3662"/>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62"/>
      <c r="Q30" s="1481">
        <f t="shared" si="11"/>
        <v>111</v>
      </c>
      <c r="R30" s="1482" t="s">
        <v>8</v>
      </c>
      <c r="S30" s="1483">
        <f t="shared" si="12"/>
        <v>100</v>
      </c>
      <c r="T30" s="1482" t="s">
        <v>8</v>
      </c>
      <c r="U30" s="1483">
        <f t="shared" si="13"/>
        <v>100</v>
      </c>
      <c r="V30" s="1482" t="s">
        <v>8</v>
      </c>
      <c r="W30" s="1483">
        <f t="shared" si="14"/>
        <v>100</v>
      </c>
      <c r="X30" s="1476"/>
      <c r="Y30" s="3662"/>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62"/>
      <c r="Q31" s="1481">
        <f t="shared" si="11"/>
        <v>111</v>
      </c>
      <c r="R31" s="1482" t="s">
        <v>8</v>
      </c>
      <c r="S31" s="1483">
        <f t="shared" si="12"/>
        <v>100</v>
      </c>
      <c r="T31" s="1482" t="s">
        <v>8</v>
      </c>
      <c r="U31" s="1483">
        <f t="shared" si="13"/>
        <v>100</v>
      </c>
      <c r="V31" s="1482" t="s">
        <v>8</v>
      </c>
      <c r="W31" s="1483">
        <f t="shared" si="14"/>
        <v>100</v>
      </c>
      <c r="X31" s="1476"/>
      <c r="Y31" s="3662"/>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62"/>
      <c r="Q32" s="1481">
        <f t="shared" si="11"/>
        <v>111</v>
      </c>
      <c r="R32" s="1482" t="s">
        <v>8</v>
      </c>
      <c r="S32" s="1483">
        <f t="shared" si="12"/>
        <v>100</v>
      </c>
      <c r="T32" s="1482" t="s">
        <v>8</v>
      </c>
      <c r="U32" s="1483">
        <f t="shared" si="13"/>
        <v>100</v>
      </c>
      <c r="V32" s="1482" t="s">
        <v>8</v>
      </c>
      <c r="W32" s="1483">
        <f t="shared" si="14"/>
        <v>100</v>
      </c>
      <c r="X32" s="1476"/>
      <c r="Y32" s="3662"/>
      <c r="Z32" s="1484">
        <f t="shared" si="15"/>
        <v>111</v>
      </c>
      <c r="AA32" s="1485">
        <f t="shared" si="3"/>
        <v>1</v>
      </c>
      <c r="AB32" s="1485">
        <f t="shared" si="4"/>
        <v>1</v>
      </c>
      <c r="AC32" s="1485">
        <f t="shared" si="5"/>
        <v>1</v>
      </c>
    </row>
    <row r="33" spans="1:29" ht="15">
      <c r="A33" s="2592" t="s">
        <v>2707</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63" t="s">
        <v>528</v>
      </c>
      <c r="Q33" s="1481" t="str">
        <f t="shared" si="11"/>
        <v>建筑类型</v>
      </c>
      <c r="R33" s="1482" t="s">
        <v>8</v>
      </c>
      <c r="S33" s="1483">
        <f t="shared" si="12"/>
        <v>100</v>
      </c>
      <c r="T33" s="1482" t="s">
        <v>8</v>
      </c>
      <c r="U33" s="1483">
        <f t="shared" si="13"/>
        <v>100</v>
      </c>
      <c r="V33" s="1482" t="s">
        <v>8</v>
      </c>
      <c r="W33" s="1483">
        <f t="shared" si="14"/>
        <v>100</v>
      </c>
      <c r="X33" s="1476"/>
      <c r="Y33" s="3664"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64"/>
      <c r="Q34" s="1510" t="str">
        <f t="shared" si="11"/>
        <v>项目建筑规模</v>
      </c>
      <c r="R34" s="1486" t="s">
        <v>8</v>
      </c>
      <c r="S34" s="1487" t="e">
        <f t="shared" si="12"/>
        <v>#N/A</v>
      </c>
      <c r="T34" s="1486" t="s">
        <v>8</v>
      </c>
      <c r="U34" s="1487" t="e">
        <f t="shared" si="13"/>
        <v>#N/A</v>
      </c>
      <c r="V34" s="1486" t="s">
        <v>8</v>
      </c>
      <c r="W34" s="1487" t="e">
        <f t="shared" si="14"/>
        <v>#N/A</v>
      </c>
      <c r="X34" s="1488"/>
      <c r="Y34" s="3664"/>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64"/>
      <c r="Q35" s="1481" t="str">
        <f t="shared" si="11"/>
        <v>建筑结构</v>
      </c>
      <c r="R35" s="1482" t="s">
        <v>8</v>
      </c>
      <c r="S35" s="1483">
        <f t="shared" si="12"/>
        <v>100</v>
      </c>
      <c r="T35" s="1482" t="s">
        <v>8</v>
      </c>
      <c r="U35" s="1483">
        <f t="shared" si="13"/>
        <v>100</v>
      </c>
      <c r="V35" s="1482" t="s">
        <v>8</v>
      </c>
      <c r="W35" s="1483">
        <f t="shared" si="14"/>
        <v>100</v>
      </c>
      <c r="X35" s="1476"/>
      <c r="Y35" s="3664"/>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64"/>
      <c r="Q36" s="1481" t="str">
        <f t="shared" si="11"/>
        <v>公共部分装修</v>
      </c>
      <c r="R36" s="1482" t="s">
        <v>8</v>
      </c>
      <c r="S36" s="1483">
        <f t="shared" si="12"/>
        <v>100</v>
      </c>
      <c r="T36" s="1482" t="s">
        <v>8</v>
      </c>
      <c r="U36" s="1483">
        <f t="shared" si="13"/>
        <v>100</v>
      </c>
      <c r="V36" s="1482" t="s">
        <v>8</v>
      </c>
      <c r="W36" s="1483">
        <f t="shared" si="14"/>
        <v>100</v>
      </c>
      <c r="X36" s="1476"/>
      <c r="Y36" s="3664"/>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64"/>
      <c r="Q37" s="1481" t="str">
        <f t="shared" si="11"/>
        <v>成新度</v>
      </c>
      <c r="R37" s="1482" t="s">
        <v>8</v>
      </c>
      <c r="S37" s="1483" t="e">
        <f t="shared" si="12"/>
        <v>#N/A</v>
      </c>
      <c r="T37" s="1482" t="s">
        <v>8</v>
      </c>
      <c r="U37" s="1483" t="e">
        <f t="shared" si="13"/>
        <v>#N/A</v>
      </c>
      <c r="V37" s="1482" t="s">
        <v>8</v>
      </c>
      <c r="W37" s="1483" t="e">
        <f t="shared" si="14"/>
        <v>#N/A</v>
      </c>
      <c r="X37" s="1476"/>
      <c r="Y37" s="3664"/>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64"/>
      <c r="Q38" s="1116" t="str">
        <f t="shared" si="11"/>
        <v>写字楼等级</v>
      </c>
      <c r="R38" s="1477" t="s">
        <v>8</v>
      </c>
      <c r="S38" s="1478">
        <f t="shared" si="12"/>
        <v>100</v>
      </c>
      <c r="T38" s="1477" t="s">
        <v>8</v>
      </c>
      <c r="U38" s="1478">
        <f t="shared" si="13"/>
        <v>100</v>
      </c>
      <c r="V38" s="1477" t="s">
        <v>8</v>
      </c>
      <c r="W38" s="1478">
        <f t="shared" si="14"/>
        <v>100</v>
      </c>
      <c r="X38" s="1479"/>
      <c r="Y38" s="3664"/>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64" t="s">
        <v>528</v>
      </c>
      <c r="Q39" s="1481" t="str">
        <f t="shared" si="11"/>
        <v>物业管理</v>
      </c>
      <c r="R39" s="1482" t="s">
        <v>8</v>
      </c>
      <c r="S39" s="1483">
        <f t="shared" si="12"/>
        <v>100</v>
      </c>
      <c r="T39" s="1482" t="s">
        <v>8</v>
      </c>
      <c r="U39" s="1483">
        <f t="shared" si="13"/>
        <v>100</v>
      </c>
      <c r="V39" s="1482" t="s">
        <v>8</v>
      </c>
      <c r="W39" s="1483">
        <f t="shared" si="14"/>
        <v>100</v>
      </c>
      <c r="X39" s="1476"/>
      <c r="Y39" s="3664" t="s">
        <v>528</v>
      </c>
      <c r="Z39" s="1484" t="str">
        <f t="shared" si="15"/>
        <v>物业管理</v>
      </c>
      <c r="AA39" s="1485">
        <f t="shared" si="3"/>
        <v>1</v>
      </c>
      <c r="AB39" s="1485">
        <f t="shared" si="4"/>
        <v>1</v>
      </c>
      <c r="AC39" s="1485">
        <f t="shared" si="5"/>
        <v>1</v>
      </c>
    </row>
    <row r="40" spans="1:29" ht="15">
      <c r="A40" s="570"/>
      <c r="B40" s="1782" t="s">
        <v>2518</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64"/>
      <c r="Q40" s="1481" t="str">
        <f t="shared" si="11"/>
        <v>市政基础设施</v>
      </c>
      <c r="R40" s="1482" t="s">
        <v>8</v>
      </c>
      <c r="S40" s="1483">
        <f t="shared" si="12"/>
        <v>100</v>
      </c>
      <c r="T40" s="1482" t="s">
        <v>8</v>
      </c>
      <c r="U40" s="1483">
        <f t="shared" si="13"/>
        <v>100</v>
      </c>
      <c r="V40" s="1482" t="s">
        <v>8</v>
      </c>
      <c r="W40" s="1483">
        <f t="shared" si="14"/>
        <v>100</v>
      </c>
      <c r="X40" s="1476"/>
      <c r="Y40" s="3664"/>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64"/>
      <c r="Q41" s="1481" t="str">
        <f t="shared" si="11"/>
        <v>层高</v>
      </c>
      <c r="R41" s="1482" t="s">
        <v>8</v>
      </c>
      <c r="S41" s="1483">
        <f t="shared" si="12"/>
        <v>100</v>
      </c>
      <c r="T41" s="1482" t="s">
        <v>8</v>
      </c>
      <c r="U41" s="1483">
        <f t="shared" si="13"/>
        <v>100</v>
      </c>
      <c r="V41" s="1482" t="s">
        <v>8</v>
      </c>
      <c r="W41" s="1483">
        <f t="shared" si="14"/>
        <v>100</v>
      </c>
      <c r="X41" s="1476"/>
      <c r="Y41" s="3664"/>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64"/>
      <c r="Q42" s="1510" t="str">
        <f t="shared" si="11"/>
        <v>单套建筑面积</v>
      </c>
      <c r="R42" s="1486" t="s">
        <v>8</v>
      </c>
      <c r="S42" s="1487">
        <f t="shared" si="12"/>
        <v>100</v>
      </c>
      <c r="T42" s="1486" t="s">
        <v>8</v>
      </c>
      <c r="U42" s="1487">
        <f t="shared" si="13"/>
        <v>100</v>
      </c>
      <c r="V42" s="1486" t="s">
        <v>8</v>
      </c>
      <c r="W42" s="1487">
        <f t="shared" si="14"/>
        <v>100</v>
      </c>
      <c r="X42" s="1488"/>
      <c r="Y42" s="3664"/>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64"/>
      <c r="Q43" s="1481" t="str">
        <f t="shared" si="11"/>
        <v>内部装修</v>
      </c>
      <c r="R43" s="1482" t="s">
        <v>8</v>
      </c>
      <c r="S43" s="1483">
        <f t="shared" si="12"/>
        <v>100</v>
      </c>
      <c r="T43" s="1482" t="s">
        <v>8</v>
      </c>
      <c r="U43" s="1483">
        <f t="shared" si="13"/>
        <v>100</v>
      </c>
      <c r="V43" s="1482" t="s">
        <v>8</v>
      </c>
      <c r="W43" s="1483">
        <f t="shared" si="14"/>
        <v>100</v>
      </c>
      <c r="X43" s="1476"/>
      <c r="Y43" s="3664"/>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64"/>
      <c r="Q44" s="1481" t="str">
        <f t="shared" si="11"/>
        <v>内部装修维护情况</v>
      </c>
      <c r="R44" s="1482" t="s">
        <v>8</v>
      </c>
      <c r="S44" s="1483">
        <f t="shared" si="12"/>
        <v>100</v>
      </c>
      <c r="T44" s="1482" t="s">
        <v>8</v>
      </c>
      <c r="U44" s="1483">
        <f t="shared" si="13"/>
        <v>100</v>
      </c>
      <c r="V44" s="1482" t="s">
        <v>8</v>
      </c>
      <c r="W44" s="1483">
        <f t="shared" si="14"/>
        <v>100</v>
      </c>
      <c r="X44" s="1476"/>
      <c r="Y44" s="3664"/>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64"/>
      <c r="Q45" s="1116">
        <f t="shared" si="11"/>
        <v>111</v>
      </c>
      <c r="R45" s="1477" t="s">
        <v>8</v>
      </c>
      <c r="S45" s="1478">
        <f t="shared" si="12"/>
        <v>100</v>
      </c>
      <c r="T45" s="1477" t="s">
        <v>8</v>
      </c>
      <c r="U45" s="1478">
        <f t="shared" si="13"/>
        <v>100</v>
      </c>
      <c r="V45" s="1477" t="s">
        <v>8</v>
      </c>
      <c r="W45" s="1478">
        <f t="shared" si="14"/>
        <v>100</v>
      </c>
      <c r="X45" s="1479"/>
      <c r="Y45" s="3664"/>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64"/>
      <c r="Q46" s="1481">
        <f t="shared" si="11"/>
        <v>111</v>
      </c>
      <c r="R46" s="1482" t="s">
        <v>8</v>
      </c>
      <c r="S46" s="1483">
        <f t="shared" si="12"/>
        <v>100</v>
      </c>
      <c r="T46" s="1482" t="s">
        <v>8</v>
      </c>
      <c r="U46" s="1483">
        <f t="shared" si="13"/>
        <v>100</v>
      </c>
      <c r="V46" s="1482" t="s">
        <v>8</v>
      </c>
      <c r="W46" s="1483">
        <f t="shared" si="14"/>
        <v>100</v>
      </c>
      <c r="X46" s="1476"/>
      <c r="Y46" s="3664"/>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765"/>
      <c r="Q47" s="1481">
        <f t="shared" si="11"/>
        <v>111</v>
      </c>
      <c r="R47" s="1482" t="s">
        <v>8</v>
      </c>
      <c r="S47" s="1483">
        <f t="shared" si="12"/>
        <v>100</v>
      </c>
      <c r="T47" s="1482" t="s">
        <v>8</v>
      </c>
      <c r="U47" s="1483">
        <f t="shared" si="13"/>
        <v>100</v>
      </c>
      <c r="V47" s="1482" t="s">
        <v>8</v>
      </c>
      <c r="W47" s="1483">
        <f t="shared" si="14"/>
        <v>100</v>
      </c>
      <c r="X47" s="1476"/>
      <c r="Y47" s="3765"/>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625" t="str">
        <f>A48</f>
        <v>成交单价（元/平方米）</v>
      </c>
      <c r="Q48" s="3627"/>
      <c r="R48" s="3764">
        <f>E48</f>
        <v>0</v>
      </c>
      <c r="S48" s="3764"/>
      <c r="T48" s="3764">
        <f>G48</f>
        <v>0</v>
      </c>
      <c r="U48" s="3764"/>
      <c r="V48" s="3764">
        <f>I48</f>
        <v>0</v>
      </c>
      <c r="W48" s="3764"/>
      <c r="X48" s="1471"/>
      <c r="Y48" s="1490"/>
      <c r="Z48" s="1471"/>
      <c r="AA48" s="1471"/>
      <c r="AB48" s="1471"/>
      <c r="AC48" s="1471"/>
    </row>
    <row r="49" spans="1:29" ht="15.75" thickBot="1">
      <c r="A49" s="591" t="s">
        <v>2712</v>
      </c>
      <c r="B49" s="859"/>
      <c r="C49" s="2444" t="e">
        <f>R50</f>
        <v>#DIV/0!</v>
      </c>
      <c r="D49" s="2980" t="s">
        <v>2936</v>
      </c>
      <c r="E49" s="2445" t="e">
        <f>R49</f>
        <v>#DIV/0!</v>
      </c>
      <c r="F49" s="2981"/>
      <c r="G49" s="2444" t="e">
        <f>T49</f>
        <v>#DIV/0!</v>
      </c>
      <c r="H49" s="2981"/>
      <c r="I49" s="2445" t="e">
        <f>V49</f>
        <v>#DIV/0!</v>
      </c>
      <c r="J49" s="2981"/>
      <c r="K49" s="2989">
        <f>F49+H49+J49</f>
        <v>0</v>
      </c>
      <c r="L49" s="1997"/>
      <c r="M49" s="1987"/>
      <c r="N49" s="1987"/>
      <c r="O49" s="1987"/>
      <c r="P49" s="3625" t="str">
        <f>A49</f>
        <v>比较价格（元/平方米）</v>
      </c>
      <c r="Q49" s="3627"/>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471"/>
      <c r="Y49" s="1471"/>
      <c r="Z49" s="1471"/>
      <c r="AA49" s="1471"/>
      <c r="AB49" s="1471"/>
      <c r="AC49" s="1471"/>
    </row>
    <row r="50" spans="1:29" ht="15.75" thickBot="1">
      <c r="A50" s="595" t="s">
        <v>2872</v>
      </c>
      <c r="B50" s="596"/>
      <c r="C50" s="2446" t="e">
        <f>R50</f>
        <v>#DIV/0!</v>
      </c>
      <c r="D50" s="2446"/>
      <c r="E50" s="2446"/>
      <c r="F50" s="2446"/>
      <c r="G50" s="2446"/>
      <c r="H50" s="2446"/>
      <c r="I50" s="2446"/>
      <c r="J50" s="2446"/>
      <c r="K50" s="1516"/>
      <c r="L50" s="1997"/>
      <c r="M50" s="1987"/>
      <c r="N50" s="1987"/>
      <c r="O50" s="1987"/>
      <c r="P50" s="3766" t="str">
        <f>A50</f>
        <v>估价对象XX用房的比较价格（楼面单价，元/平方米）</v>
      </c>
      <c r="Q50" s="3625"/>
      <c r="R50" s="3763" t="e">
        <f>IF(F1="售价",ROUND(IF(D49="简单平均",AVERAGE(R49:V49),R49*F49+T49*H49+V49*J49),0),ROUND(IF(D49="简单平均",AVERAGE(R49:V49),R49*F49+T49*H49+V49*J49),1))</f>
        <v>#DIV/0!</v>
      </c>
      <c r="S50" s="3763"/>
      <c r="T50" s="3763"/>
      <c r="U50" s="3763"/>
      <c r="V50" s="3763"/>
      <c r="W50" s="3763"/>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2022-3</v>
      </c>
      <c r="D59" s="2489">
        <f>EDATE(C59,-1)</f>
        <v>44593</v>
      </c>
      <c r="E59" s="2489">
        <f t="shared" ref="E59:O59" si="16">EDATE(D59,-1)</f>
        <v>44562</v>
      </c>
      <c r="F59" s="2489">
        <f t="shared" si="16"/>
        <v>44531</v>
      </c>
      <c r="G59" s="2489">
        <f t="shared" si="16"/>
        <v>44501</v>
      </c>
      <c r="H59" s="2489">
        <f t="shared" si="16"/>
        <v>44470</v>
      </c>
      <c r="I59" s="2489">
        <f t="shared" si="16"/>
        <v>44440</v>
      </c>
      <c r="J59" s="2489">
        <f t="shared" si="16"/>
        <v>44409</v>
      </c>
      <c r="K59" s="2489">
        <f t="shared" si="16"/>
        <v>44378</v>
      </c>
      <c r="L59" s="2489">
        <f t="shared" si="16"/>
        <v>44348</v>
      </c>
      <c r="M59" s="2489">
        <f t="shared" si="16"/>
        <v>44317</v>
      </c>
      <c r="N59" s="2489">
        <f t="shared" si="16"/>
        <v>44287</v>
      </c>
      <c r="O59" s="2489">
        <f t="shared" si="16"/>
        <v>44256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2510</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2511</v>
      </c>
      <c r="C83" s="2410" t="s">
        <v>2512</v>
      </c>
      <c r="D83" s="2410" t="s">
        <v>2513</v>
      </c>
      <c r="E83" s="2410" t="s">
        <v>2514</v>
      </c>
      <c r="F83" s="2410" t="s">
        <v>2515</v>
      </c>
      <c r="G83" s="2410" t="s">
        <v>2516</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2509</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3633" t="s">
        <v>500</v>
      </c>
      <c r="D4" s="3634"/>
      <c r="E4" s="3667" t="s">
        <v>501</v>
      </c>
      <c r="F4" s="3668"/>
      <c r="G4" s="3633" t="s">
        <v>502</v>
      </c>
      <c r="H4" s="3634"/>
      <c r="I4" s="3633" t="s">
        <v>503</v>
      </c>
      <c r="J4" s="3634"/>
      <c r="K4" s="490" t="s">
        <v>504</v>
      </c>
      <c r="L4" s="1986"/>
      <c r="M4" s="1987"/>
      <c r="N4" s="1987"/>
      <c r="O4" s="1987"/>
      <c r="P4" s="3635" t="s">
        <v>505</v>
      </c>
      <c r="Q4" s="3636"/>
      <c r="R4" s="3641" t="s">
        <v>501</v>
      </c>
      <c r="S4" s="3642"/>
      <c r="T4" s="3641" t="s">
        <v>502</v>
      </c>
      <c r="U4" s="3642"/>
      <c r="V4" s="3628" t="s">
        <v>503</v>
      </c>
      <c r="W4" s="3628"/>
      <c r="X4" s="1476"/>
      <c r="Y4" s="3641" t="s">
        <v>505</v>
      </c>
      <c r="Z4" s="3642"/>
      <c r="AA4" s="3630" t="s">
        <v>501</v>
      </c>
      <c r="AB4" s="3631" t="s">
        <v>502</v>
      </c>
      <c r="AC4" s="3630" t="s">
        <v>503</v>
      </c>
    </row>
    <row r="5" spans="1:29" ht="15">
      <c r="A5" s="491"/>
      <c r="B5" s="492"/>
      <c r="C5" s="3649" t="s">
        <v>2866</v>
      </c>
      <c r="D5" s="3650"/>
      <c r="E5" s="3669" t="s">
        <v>2867</v>
      </c>
      <c r="F5" s="3670"/>
      <c r="G5" s="3649" t="s">
        <v>2868</v>
      </c>
      <c r="H5" s="3650"/>
      <c r="I5" s="3649" t="s">
        <v>2869</v>
      </c>
      <c r="J5" s="3650"/>
      <c r="K5" s="490"/>
      <c r="L5" s="1986"/>
      <c r="M5" s="1987"/>
      <c r="N5" s="1987"/>
      <c r="O5" s="1987"/>
      <c r="P5" s="3637"/>
      <c r="Q5" s="3638"/>
      <c r="R5" s="3643"/>
      <c r="S5" s="3644"/>
      <c r="T5" s="3643"/>
      <c r="U5" s="3644"/>
      <c r="V5" s="3628"/>
      <c r="W5" s="3628"/>
      <c r="X5" s="1476"/>
      <c r="Y5" s="3643"/>
      <c r="Z5" s="3644"/>
      <c r="AA5" s="3631"/>
      <c r="AB5" s="3631"/>
      <c r="AC5" s="3631"/>
    </row>
    <row r="6" spans="1:29" ht="15.75" thickBot="1">
      <c r="A6" s="493"/>
      <c r="B6" s="494"/>
      <c r="C6" s="3647" t="s">
        <v>2870</v>
      </c>
      <c r="D6" s="3648"/>
      <c r="E6" s="3665" t="s">
        <v>2870</v>
      </c>
      <c r="F6" s="3666"/>
      <c r="G6" s="3647" t="s">
        <v>2870</v>
      </c>
      <c r="H6" s="3648"/>
      <c r="I6" s="3647" t="s">
        <v>2870</v>
      </c>
      <c r="J6" s="3648"/>
      <c r="K6" s="490" t="s">
        <v>506</v>
      </c>
      <c r="L6" s="1986"/>
      <c r="M6" s="1987"/>
      <c r="N6" s="1987"/>
      <c r="O6" s="1987"/>
      <c r="P6" s="3639"/>
      <c r="Q6" s="3640"/>
      <c r="R6" s="3643"/>
      <c r="S6" s="3644"/>
      <c r="T6" s="3645"/>
      <c r="U6" s="3646"/>
      <c r="V6" s="3628"/>
      <c r="W6" s="3628"/>
      <c r="X6" s="1476"/>
      <c r="Y6" s="3645"/>
      <c r="Z6" s="3646"/>
      <c r="AA6" s="3632"/>
      <c r="AB6" s="3632"/>
      <c r="AC6" s="3632"/>
    </row>
    <row r="7" spans="1:29" s="1185" customFormat="1" ht="15.75" thickBot="1">
      <c r="A7" s="2597"/>
      <c r="B7" s="2604" t="s">
        <v>507</v>
      </c>
      <c r="C7" s="495">
        <f>'数据-取费表'!B2</f>
        <v>44622</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58" t="s">
        <v>508</v>
      </c>
      <c r="Q7" s="3660"/>
      <c r="R7" s="1477" t="s">
        <v>8</v>
      </c>
      <c r="S7" s="1478">
        <f t="shared" ref="S7:S15" si="0">F7</f>
        <v>0</v>
      </c>
      <c r="T7" s="1477" t="s">
        <v>8</v>
      </c>
      <c r="U7" s="1478">
        <f t="shared" ref="U7:U15" si="1">H7</f>
        <v>0</v>
      </c>
      <c r="V7" s="1477" t="s">
        <v>8</v>
      </c>
      <c r="W7" s="1478">
        <f t="shared" ref="W7:W15" si="2">J7</f>
        <v>0</v>
      </c>
      <c r="X7" s="1479"/>
      <c r="Y7" s="3658" t="s">
        <v>508</v>
      </c>
      <c r="Z7" s="3659"/>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58" t="s">
        <v>511</v>
      </c>
      <c r="Q8" s="3659"/>
      <c r="R8" s="1477" t="s">
        <v>8</v>
      </c>
      <c r="S8" s="1478">
        <f t="shared" si="0"/>
        <v>0</v>
      </c>
      <c r="T8" s="1477" t="s">
        <v>8</v>
      </c>
      <c r="U8" s="1478">
        <f t="shared" si="1"/>
        <v>0</v>
      </c>
      <c r="V8" s="1477" t="s">
        <v>8</v>
      </c>
      <c r="W8" s="1478">
        <f t="shared" si="2"/>
        <v>0</v>
      </c>
      <c r="X8" s="1479"/>
      <c r="Y8" s="3658" t="s">
        <v>511</v>
      </c>
      <c r="Z8" s="3659"/>
      <c r="AA8" s="1480" t="e">
        <f t="shared" ref="AA8:AA40" si="3">D8/F8</f>
        <v>#DIV/0!</v>
      </c>
      <c r="AB8" s="1480" t="e">
        <f t="shared" ref="AB8:AB40" si="4">D8/H8</f>
        <v>#DIV/0!</v>
      </c>
      <c r="AC8" s="1480" t="e">
        <f t="shared" ref="AC8:AC40" si="5">D8/J8</f>
        <v>#DIV/0!</v>
      </c>
    </row>
    <row r="9" spans="1:29" s="1185" customFormat="1" ht="15">
      <c r="A9" s="2599"/>
      <c r="B9" s="2606" t="s">
        <v>2708</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27" t="s">
        <v>513</v>
      </c>
      <c r="Q9" s="1116" t="str">
        <f t="shared" ref="Q9:Q15" si="6">B9</f>
        <v>用途</v>
      </c>
      <c r="R9" s="1477" t="s">
        <v>8</v>
      </c>
      <c r="S9" s="1478">
        <f t="shared" si="0"/>
        <v>100</v>
      </c>
      <c r="T9" s="1477" t="s">
        <v>8</v>
      </c>
      <c r="U9" s="1478">
        <f t="shared" si="1"/>
        <v>100</v>
      </c>
      <c r="V9" s="1477" t="s">
        <v>8</v>
      </c>
      <c r="W9" s="1478">
        <f t="shared" si="2"/>
        <v>100</v>
      </c>
      <c r="X9" s="1479"/>
      <c r="Y9" s="3569"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27"/>
      <c r="Q10" s="1116" t="str">
        <f t="shared" si="6"/>
        <v>土地使用年限（年）</v>
      </c>
      <c r="R10" s="1477" t="s">
        <v>8</v>
      </c>
      <c r="S10" s="1478">
        <f t="shared" si="0"/>
        <v>100</v>
      </c>
      <c r="T10" s="1477" t="s">
        <v>8</v>
      </c>
      <c r="U10" s="1478">
        <f t="shared" si="1"/>
        <v>100</v>
      </c>
      <c r="V10" s="1477" t="s">
        <v>8</v>
      </c>
      <c r="W10" s="1478">
        <f t="shared" si="2"/>
        <v>100</v>
      </c>
      <c r="X10" s="1479"/>
      <c r="Y10" s="3569"/>
      <c r="Z10" s="1115" t="str">
        <f t="shared" si="7"/>
        <v>土地使用年限（年）</v>
      </c>
      <c r="AA10" s="1480">
        <f t="shared" si="3"/>
        <v>1</v>
      </c>
      <c r="AB10" s="1480">
        <f t="shared" si="4"/>
        <v>1</v>
      </c>
      <c r="AC10" s="1480">
        <f t="shared" si="5"/>
        <v>1</v>
      </c>
    </row>
    <row r="11" spans="1:29" ht="15">
      <c r="A11" s="2601"/>
      <c r="B11" s="2605" t="s">
        <v>2710</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27"/>
      <c r="Q11" s="1116" t="str">
        <f t="shared" si="6"/>
        <v>容积率</v>
      </c>
      <c r="R11" s="1477" t="s">
        <v>8</v>
      </c>
      <c r="S11" s="1478" t="e">
        <f t="shared" si="0"/>
        <v>#N/A</v>
      </c>
      <c r="T11" s="1477" t="s">
        <v>8</v>
      </c>
      <c r="U11" s="1478" t="e">
        <f t="shared" si="1"/>
        <v>#N/A</v>
      </c>
      <c r="V11" s="1477" t="s">
        <v>8</v>
      </c>
      <c r="W11" s="1478" t="e">
        <f t="shared" si="2"/>
        <v>#N/A</v>
      </c>
      <c r="X11" s="1479"/>
      <c r="Y11" s="3569"/>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27"/>
      <c r="Q12" s="1116">
        <f t="shared" si="6"/>
        <v>111</v>
      </c>
      <c r="R12" s="1477" t="s">
        <v>8</v>
      </c>
      <c r="S12" s="1478">
        <f t="shared" si="0"/>
        <v>100</v>
      </c>
      <c r="T12" s="1477" t="s">
        <v>8</v>
      </c>
      <c r="U12" s="1478">
        <f t="shared" si="1"/>
        <v>100</v>
      </c>
      <c r="V12" s="1477" t="s">
        <v>8</v>
      </c>
      <c r="W12" s="1478">
        <f t="shared" si="2"/>
        <v>100</v>
      </c>
      <c r="X12" s="1479"/>
      <c r="Y12" s="3569"/>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27"/>
      <c r="Q13" s="1116">
        <f t="shared" si="6"/>
        <v>111</v>
      </c>
      <c r="R13" s="1477" t="s">
        <v>8</v>
      </c>
      <c r="S13" s="1478">
        <f t="shared" si="0"/>
        <v>100</v>
      </c>
      <c r="T13" s="1477" t="s">
        <v>8</v>
      </c>
      <c r="U13" s="1478">
        <f t="shared" si="1"/>
        <v>100</v>
      </c>
      <c r="V13" s="1477" t="s">
        <v>8</v>
      </c>
      <c r="W13" s="1478">
        <f t="shared" si="2"/>
        <v>100</v>
      </c>
      <c r="X13" s="1479"/>
      <c r="Y13" s="3569"/>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27"/>
      <c r="Q14" s="1116">
        <f t="shared" si="6"/>
        <v>111</v>
      </c>
      <c r="R14" s="1477" t="s">
        <v>8</v>
      </c>
      <c r="S14" s="1478">
        <f t="shared" si="0"/>
        <v>100</v>
      </c>
      <c r="T14" s="1477" t="s">
        <v>8</v>
      </c>
      <c r="U14" s="1478">
        <f t="shared" si="1"/>
        <v>100</v>
      </c>
      <c r="V14" s="1477" t="s">
        <v>8</v>
      </c>
      <c r="W14" s="1478">
        <f t="shared" si="2"/>
        <v>100</v>
      </c>
      <c r="X14" s="1479"/>
      <c r="Y14" s="3569"/>
      <c r="Z14" s="1115">
        <f t="shared" si="7"/>
        <v>111</v>
      </c>
      <c r="AA14" s="1480">
        <f t="shared" si="3"/>
        <v>1</v>
      </c>
      <c r="AB14" s="1480">
        <f t="shared" si="4"/>
        <v>1</v>
      </c>
      <c r="AC14" s="1480">
        <f t="shared" si="5"/>
        <v>1</v>
      </c>
    </row>
    <row r="15" spans="1:29" ht="57">
      <c r="A15" s="2595" t="s">
        <v>2706</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61" t="s">
        <v>518</v>
      </c>
      <c r="Q15" s="1481" t="str">
        <f t="shared" si="6"/>
        <v>产业集聚程度</v>
      </c>
      <c r="R15" s="1482" t="s">
        <v>8</v>
      </c>
      <c r="S15" s="1483">
        <f t="shared" si="0"/>
        <v>100</v>
      </c>
      <c r="T15" s="1482" t="s">
        <v>8</v>
      </c>
      <c r="U15" s="1483">
        <f t="shared" si="1"/>
        <v>100</v>
      </c>
      <c r="V15" s="1482" t="s">
        <v>8</v>
      </c>
      <c r="W15" s="1483">
        <f t="shared" si="2"/>
        <v>100</v>
      </c>
      <c r="X15" s="1476"/>
      <c r="Y15" s="3661"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662"/>
      <c r="Q16" s="1481"/>
      <c r="R16" s="1482"/>
      <c r="S16" s="1483"/>
      <c r="T16" s="1482"/>
      <c r="U16" s="1483"/>
      <c r="V16" s="1482"/>
      <c r="W16" s="1483"/>
      <c r="X16" s="1476"/>
      <c r="Y16" s="3662"/>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62"/>
      <c r="Q17" s="1481" t="str">
        <f>B17</f>
        <v>交通便捷度</v>
      </c>
      <c r="R17" s="1482" t="s">
        <v>8</v>
      </c>
      <c r="S17" s="1483">
        <f>F17</f>
        <v>100</v>
      </c>
      <c r="T17" s="1482" t="s">
        <v>8</v>
      </c>
      <c r="U17" s="1483">
        <f>H17</f>
        <v>100</v>
      </c>
      <c r="V17" s="1482" t="s">
        <v>8</v>
      </c>
      <c r="W17" s="1483">
        <f>J17</f>
        <v>100</v>
      </c>
      <c r="X17" s="1476"/>
      <c r="Y17" s="3662"/>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662"/>
      <c r="Q18" s="1481"/>
      <c r="R18" s="1482"/>
      <c r="S18" s="1483"/>
      <c r="T18" s="1482"/>
      <c r="U18" s="1483"/>
      <c r="V18" s="1482"/>
      <c r="W18" s="1483"/>
      <c r="X18" s="1476"/>
      <c r="Y18" s="3662"/>
      <c r="Z18" s="1484"/>
      <c r="AA18" s="1485">
        <v>1</v>
      </c>
      <c r="AB18" s="1485">
        <v>1</v>
      </c>
      <c r="AC18" s="1485">
        <v>1</v>
      </c>
    </row>
    <row r="19" spans="1:29" ht="42.75">
      <c r="A19" s="508"/>
      <c r="B19" s="2415" t="s">
        <v>2499</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62"/>
      <c r="Q19" s="1481" t="str">
        <f>B19</f>
        <v>公共配套设施</v>
      </c>
      <c r="R19" s="1482" t="s">
        <v>8</v>
      </c>
      <c r="S19" s="1483">
        <f>F19</f>
        <v>100</v>
      </c>
      <c r="T19" s="1482" t="s">
        <v>8</v>
      </c>
      <c r="U19" s="1483">
        <f>H19</f>
        <v>100</v>
      </c>
      <c r="V19" s="1482" t="s">
        <v>8</v>
      </c>
      <c r="W19" s="1483">
        <f>J19</f>
        <v>100</v>
      </c>
      <c r="X19" s="1476"/>
      <c r="Y19" s="3662"/>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662"/>
      <c r="Q20" s="1481"/>
      <c r="R20" s="1482"/>
      <c r="S20" s="1483"/>
      <c r="T20" s="1482"/>
      <c r="U20" s="1483"/>
      <c r="V20" s="1482"/>
      <c r="W20" s="1483"/>
      <c r="X20" s="1476"/>
      <c r="Y20" s="3662"/>
      <c r="Z20" s="1484"/>
      <c r="AA20" s="1485">
        <v>1</v>
      </c>
      <c r="AB20" s="1485">
        <v>1</v>
      </c>
      <c r="AC20" s="1485">
        <v>1</v>
      </c>
    </row>
    <row r="21" spans="1:29" ht="28.5">
      <c r="A21" s="508"/>
      <c r="B21" s="2403" t="s">
        <v>2511</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62"/>
      <c r="Q21" s="2397" t="str">
        <f>B21</f>
        <v>基础设施水平</v>
      </c>
      <c r="R21" s="1482" t="s">
        <v>8</v>
      </c>
      <c r="S21" s="1483">
        <f>F21</f>
        <v>100</v>
      </c>
      <c r="T21" s="1482" t="s">
        <v>8</v>
      </c>
      <c r="U21" s="1483">
        <f>H21</f>
        <v>100</v>
      </c>
      <c r="V21" s="1482" t="s">
        <v>8</v>
      </c>
      <c r="W21" s="1483">
        <f>J21</f>
        <v>100</v>
      </c>
      <c r="X21" s="2399"/>
      <c r="Y21" s="3662"/>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662"/>
      <c r="Q22" s="2397"/>
      <c r="R22" s="1482"/>
      <c r="S22" s="1483"/>
      <c r="T22" s="1482"/>
      <c r="U22" s="1483"/>
      <c r="V22" s="1482"/>
      <c r="W22" s="1483"/>
      <c r="X22" s="2399"/>
      <c r="Y22" s="3662"/>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62"/>
      <c r="Q23" s="1481" t="str">
        <f>B23</f>
        <v>环境质量</v>
      </c>
      <c r="R23" s="1482" t="s">
        <v>8</v>
      </c>
      <c r="S23" s="1483">
        <f>F23</f>
        <v>100</v>
      </c>
      <c r="T23" s="1482" t="s">
        <v>8</v>
      </c>
      <c r="U23" s="1483">
        <f>H23</f>
        <v>100</v>
      </c>
      <c r="V23" s="1482" t="s">
        <v>8</v>
      </c>
      <c r="W23" s="1483">
        <f>J23</f>
        <v>100</v>
      </c>
      <c r="X23" s="1476"/>
      <c r="Y23" s="3662"/>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662"/>
      <c r="Q24" s="1481"/>
      <c r="R24" s="1482"/>
      <c r="S24" s="1483"/>
      <c r="T24" s="1482"/>
      <c r="U24" s="1483"/>
      <c r="V24" s="1482"/>
      <c r="W24" s="1483"/>
      <c r="X24" s="1476"/>
      <c r="Y24" s="3662"/>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62"/>
      <c r="Q25" s="1481">
        <f>B25</f>
        <v>111</v>
      </c>
      <c r="R25" s="1482" t="s">
        <v>8</v>
      </c>
      <c r="S25" s="1483">
        <f>F25</f>
        <v>100</v>
      </c>
      <c r="T25" s="1482" t="s">
        <v>8</v>
      </c>
      <c r="U25" s="1483">
        <f>H25</f>
        <v>100</v>
      </c>
      <c r="V25" s="1482" t="s">
        <v>8</v>
      </c>
      <c r="W25" s="1483">
        <f>J25</f>
        <v>100</v>
      </c>
      <c r="X25" s="1476"/>
      <c r="Y25" s="3662"/>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62"/>
      <c r="Q26" s="1481">
        <f t="shared" ref="Q26:Q40" si="11">B26</f>
        <v>111</v>
      </c>
      <c r="R26" s="1482" t="s">
        <v>8</v>
      </c>
      <c r="S26" s="1483">
        <f>F26</f>
        <v>100</v>
      </c>
      <c r="T26" s="1482" t="s">
        <v>8</v>
      </c>
      <c r="U26" s="1483">
        <f>H26</f>
        <v>100</v>
      </c>
      <c r="V26" s="1482" t="s">
        <v>8</v>
      </c>
      <c r="W26" s="1483">
        <f>J26</f>
        <v>100</v>
      </c>
      <c r="X26" s="1476"/>
      <c r="Y26" s="3662"/>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62"/>
      <c r="Q27" s="1116">
        <f t="shared" si="11"/>
        <v>111</v>
      </c>
      <c r="R27" s="1477" t="s">
        <v>8</v>
      </c>
      <c r="S27" s="1478">
        <f>F27</f>
        <v>100</v>
      </c>
      <c r="T27" s="1477" t="s">
        <v>8</v>
      </c>
      <c r="U27" s="1478">
        <f>H27</f>
        <v>100</v>
      </c>
      <c r="V27" s="1477" t="s">
        <v>8</v>
      </c>
      <c r="W27" s="1478">
        <f>J27</f>
        <v>100</v>
      </c>
      <c r="X27" s="1479"/>
      <c r="Y27" s="3662"/>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62"/>
      <c r="Q28" s="1481">
        <f t="shared" si="11"/>
        <v>111</v>
      </c>
      <c r="R28" s="1482" t="s">
        <v>8</v>
      </c>
      <c r="S28" s="1483">
        <f t="shared" ref="S28:S40" si="12">F28</f>
        <v>100</v>
      </c>
      <c r="T28" s="1482" t="s">
        <v>8</v>
      </c>
      <c r="U28" s="1483">
        <f t="shared" ref="U28:U40" si="13">H28</f>
        <v>100</v>
      </c>
      <c r="V28" s="1482" t="s">
        <v>8</v>
      </c>
      <c r="W28" s="1483">
        <f t="shared" ref="W28:W40" si="14">J28</f>
        <v>100</v>
      </c>
      <c r="X28" s="1476"/>
      <c r="Y28" s="3662"/>
      <c r="Z28" s="1484">
        <f t="shared" ref="Z28:Z40" si="15">Q28</f>
        <v>111</v>
      </c>
      <c r="AA28" s="1485">
        <f t="shared" si="3"/>
        <v>1</v>
      </c>
      <c r="AB28" s="1485">
        <f t="shared" si="4"/>
        <v>1</v>
      </c>
      <c r="AC28" s="1485">
        <f t="shared" si="5"/>
        <v>1</v>
      </c>
    </row>
    <row r="29" spans="1:29" ht="15">
      <c r="A29" s="2592" t="s">
        <v>2707</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63" t="s">
        <v>528</v>
      </c>
      <c r="Q29" s="1481" t="str">
        <f t="shared" si="11"/>
        <v>建筑类型</v>
      </c>
      <c r="R29" s="1482" t="s">
        <v>8</v>
      </c>
      <c r="S29" s="1483">
        <f t="shared" si="12"/>
        <v>100</v>
      </c>
      <c r="T29" s="1482" t="s">
        <v>8</v>
      </c>
      <c r="U29" s="1483">
        <f t="shared" si="13"/>
        <v>100</v>
      </c>
      <c r="V29" s="1482" t="s">
        <v>8</v>
      </c>
      <c r="W29" s="1483">
        <f t="shared" si="14"/>
        <v>100</v>
      </c>
      <c r="X29" s="1476"/>
      <c r="Y29" s="3664"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64"/>
      <c r="Q30" s="1510" t="str">
        <f t="shared" si="11"/>
        <v>项目建筑规模</v>
      </c>
      <c r="R30" s="1486" t="s">
        <v>8</v>
      </c>
      <c r="S30" s="1487" t="e">
        <f t="shared" si="12"/>
        <v>#N/A</v>
      </c>
      <c r="T30" s="1486" t="s">
        <v>8</v>
      </c>
      <c r="U30" s="1487" t="e">
        <f t="shared" si="13"/>
        <v>#N/A</v>
      </c>
      <c r="V30" s="1486" t="s">
        <v>8</v>
      </c>
      <c r="W30" s="1487" t="e">
        <f t="shared" si="14"/>
        <v>#N/A</v>
      </c>
      <c r="X30" s="1488"/>
      <c r="Y30" s="3664"/>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64"/>
      <c r="Q31" s="1481" t="str">
        <f t="shared" si="11"/>
        <v>建筑结构</v>
      </c>
      <c r="R31" s="1482" t="s">
        <v>8</v>
      </c>
      <c r="S31" s="1483">
        <f t="shared" si="12"/>
        <v>100</v>
      </c>
      <c r="T31" s="1482" t="s">
        <v>8</v>
      </c>
      <c r="U31" s="1483">
        <f t="shared" si="13"/>
        <v>100</v>
      </c>
      <c r="V31" s="1482" t="s">
        <v>8</v>
      </c>
      <c r="W31" s="1483">
        <f t="shared" si="14"/>
        <v>100</v>
      </c>
      <c r="X31" s="1476"/>
      <c r="Y31" s="3664"/>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64"/>
      <c r="Q32" s="1481" t="str">
        <f t="shared" si="11"/>
        <v>公共部分装修</v>
      </c>
      <c r="R32" s="1482" t="s">
        <v>8</v>
      </c>
      <c r="S32" s="1483">
        <f t="shared" si="12"/>
        <v>100</v>
      </c>
      <c r="T32" s="1482" t="s">
        <v>8</v>
      </c>
      <c r="U32" s="1483">
        <f t="shared" si="13"/>
        <v>100</v>
      </c>
      <c r="V32" s="1482" t="s">
        <v>8</v>
      </c>
      <c r="W32" s="1483">
        <f t="shared" si="14"/>
        <v>100</v>
      </c>
      <c r="X32" s="1476"/>
      <c r="Y32" s="3664"/>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64"/>
      <c r="Q33" s="1481" t="str">
        <f t="shared" si="11"/>
        <v>成新度</v>
      </c>
      <c r="R33" s="1482" t="s">
        <v>8</v>
      </c>
      <c r="S33" s="1483" t="e">
        <f t="shared" si="12"/>
        <v>#N/A</v>
      </c>
      <c r="T33" s="1482" t="s">
        <v>8</v>
      </c>
      <c r="U33" s="1483" t="e">
        <f t="shared" si="13"/>
        <v>#N/A</v>
      </c>
      <c r="V33" s="1482" t="s">
        <v>8</v>
      </c>
      <c r="W33" s="1483" t="e">
        <f t="shared" si="14"/>
        <v>#N/A</v>
      </c>
      <c r="X33" s="1476"/>
      <c r="Y33" s="3664"/>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64"/>
      <c r="Q34" s="1116" t="str">
        <f t="shared" si="11"/>
        <v>物业管理</v>
      </c>
      <c r="R34" s="1477" t="s">
        <v>8</v>
      </c>
      <c r="S34" s="1478">
        <f t="shared" si="12"/>
        <v>100</v>
      </c>
      <c r="T34" s="1477" t="s">
        <v>8</v>
      </c>
      <c r="U34" s="1478">
        <f t="shared" si="13"/>
        <v>100</v>
      </c>
      <c r="V34" s="1477" t="s">
        <v>8</v>
      </c>
      <c r="W34" s="1478">
        <f t="shared" si="14"/>
        <v>100</v>
      </c>
      <c r="X34" s="1479"/>
      <c r="Y34" s="3664"/>
      <c r="Z34" s="1115" t="str">
        <f t="shared" si="15"/>
        <v>物业管理</v>
      </c>
      <c r="AA34" s="1480">
        <f t="shared" si="3"/>
        <v>1</v>
      </c>
      <c r="AB34" s="1480">
        <f t="shared" si="4"/>
        <v>1</v>
      </c>
      <c r="AC34" s="1480">
        <f t="shared" si="5"/>
        <v>1</v>
      </c>
    </row>
    <row r="35" spans="1:29" ht="15">
      <c r="A35" s="570"/>
      <c r="B35" s="1782" t="s">
        <v>2518</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64" t="s">
        <v>528</v>
      </c>
      <c r="Q35" s="1481" t="str">
        <f t="shared" si="11"/>
        <v>市政基础设施</v>
      </c>
      <c r="R35" s="1482" t="s">
        <v>8</v>
      </c>
      <c r="S35" s="1483">
        <f t="shared" si="12"/>
        <v>100</v>
      </c>
      <c r="T35" s="1482" t="s">
        <v>8</v>
      </c>
      <c r="U35" s="1483">
        <f t="shared" si="13"/>
        <v>100</v>
      </c>
      <c r="V35" s="1482" t="s">
        <v>8</v>
      </c>
      <c r="W35" s="1483">
        <f t="shared" si="14"/>
        <v>100</v>
      </c>
      <c r="X35" s="1476"/>
      <c r="Y35" s="3664"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64"/>
      <c r="Q36" s="1481" t="str">
        <f t="shared" si="11"/>
        <v>内部装修</v>
      </c>
      <c r="R36" s="1482" t="s">
        <v>8</v>
      </c>
      <c r="S36" s="1483">
        <f t="shared" si="12"/>
        <v>100</v>
      </c>
      <c r="T36" s="1482" t="s">
        <v>8</v>
      </c>
      <c r="U36" s="1483">
        <f t="shared" si="13"/>
        <v>100</v>
      </c>
      <c r="V36" s="1482" t="s">
        <v>8</v>
      </c>
      <c r="W36" s="1483">
        <f t="shared" si="14"/>
        <v>100</v>
      </c>
      <c r="X36" s="1476"/>
      <c r="Y36" s="3664"/>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64"/>
      <c r="Q37" s="1481" t="str">
        <f t="shared" si="11"/>
        <v>内部装修状况</v>
      </c>
      <c r="R37" s="1482" t="s">
        <v>8</v>
      </c>
      <c r="S37" s="1483">
        <f t="shared" si="12"/>
        <v>100</v>
      </c>
      <c r="T37" s="1482" t="s">
        <v>8</v>
      </c>
      <c r="U37" s="1483">
        <f t="shared" si="13"/>
        <v>100</v>
      </c>
      <c r="V37" s="1482" t="s">
        <v>8</v>
      </c>
      <c r="W37" s="1483">
        <f t="shared" si="14"/>
        <v>100</v>
      </c>
      <c r="X37" s="1476"/>
      <c r="Y37" s="3664"/>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64"/>
      <c r="Q38" s="1510">
        <f t="shared" si="11"/>
        <v>111</v>
      </c>
      <c r="R38" s="1486" t="s">
        <v>8</v>
      </c>
      <c r="S38" s="1487">
        <f t="shared" si="12"/>
        <v>100</v>
      </c>
      <c r="T38" s="1486" t="s">
        <v>8</v>
      </c>
      <c r="U38" s="1487">
        <f t="shared" si="13"/>
        <v>100</v>
      </c>
      <c r="V38" s="1486" t="s">
        <v>8</v>
      </c>
      <c r="W38" s="1487">
        <f t="shared" si="14"/>
        <v>100</v>
      </c>
      <c r="X38" s="1488"/>
      <c r="Y38" s="3664"/>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64"/>
      <c r="Q39" s="1481">
        <f t="shared" si="11"/>
        <v>111</v>
      </c>
      <c r="R39" s="1482" t="s">
        <v>8</v>
      </c>
      <c r="S39" s="1483">
        <f t="shared" si="12"/>
        <v>100</v>
      </c>
      <c r="T39" s="1482" t="s">
        <v>8</v>
      </c>
      <c r="U39" s="1483">
        <f t="shared" si="13"/>
        <v>100</v>
      </c>
      <c r="V39" s="1482" t="s">
        <v>8</v>
      </c>
      <c r="W39" s="1483">
        <f t="shared" si="14"/>
        <v>100</v>
      </c>
      <c r="X39" s="1476"/>
      <c r="Y39" s="3664"/>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765"/>
      <c r="Q40" s="1481">
        <f t="shared" si="11"/>
        <v>111</v>
      </c>
      <c r="R40" s="1482" t="s">
        <v>8</v>
      </c>
      <c r="S40" s="1483">
        <f t="shared" si="12"/>
        <v>100</v>
      </c>
      <c r="T40" s="1482" t="s">
        <v>8</v>
      </c>
      <c r="U40" s="1483">
        <f t="shared" si="13"/>
        <v>100</v>
      </c>
      <c r="V40" s="1482" t="s">
        <v>8</v>
      </c>
      <c r="W40" s="1483">
        <f t="shared" si="14"/>
        <v>100</v>
      </c>
      <c r="X40" s="1476"/>
      <c r="Y40" s="3765"/>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627" t="str">
        <f>A41</f>
        <v>成交单价（元/平方米）</v>
      </c>
      <c r="Q41" s="3627"/>
      <c r="R41" s="3764">
        <f>E41</f>
        <v>0</v>
      </c>
      <c r="S41" s="3764"/>
      <c r="T41" s="3764">
        <f>G41</f>
        <v>0</v>
      </c>
      <c r="U41" s="3764"/>
      <c r="V41" s="3764">
        <f>I41</f>
        <v>0</v>
      </c>
      <c r="W41" s="3764"/>
      <c r="X41" s="1471"/>
      <c r="Y41" s="1490"/>
      <c r="Z41" s="1471"/>
      <c r="AA41" s="1471"/>
      <c r="AB41" s="1471"/>
      <c r="AC41" s="1471"/>
    </row>
    <row r="42" spans="1:29" ht="15.75" thickBot="1">
      <c r="A42" s="591" t="s">
        <v>2712</v>
      </c>
      <c r="B42" s="859"/>
      <c r="C42" s="2444" t="e">
        <f>R43</f>
        <v>#DIV/0!</v>
      </c>
      <c r="D42" s="2980" t="s">
        <v>2936</v>
      </c>
      <c r="E42" s="2445" t="e">
        <f>R42</f>
        <v>#DIV/0!</v>
      </c>
      <c r="F42" s="2981"/>
      <c r="G42" s="2444" t="e">
        <f>T42</f>
        <v>#DIV/0!</v>
      </c>
      <c r="H42" s="2981"/>
      <c r="I42" s="2445" t="e">
        <f>V42</f>
        <v>#DIV/0!</v>
      </c>
      <c r="J42" s="2981"/>
      <c r="K42" s="2989">
        <f>F42+H42+J42</f>
        <v>0</v>
      </c>
      <c r="L42" s="1997"/>
      <c r="M42" s="1998"/>
      <c r="N42" s="1987"/>
      <c r="O42" s="1998"/>
      <c r="P42" s="3627" t="str">
        <f>A42</f>
        <v>比较价格（元/平方米）</v>
      </c>
      <c r="Q42" s="3627"/>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471"/>
      <c r="Y42" s="1471"/>
      <c r="Z42" s="1471"/>
      <c r="AA42" s="1471"/>
      <c r="AB42" s="1471"/>
      <c r="AC42" s="1471"/>
    </row>
    <row r="43" spans="1:29" ht="15.75" thickBot="1">
      <c r="A43" s="595" t="s">
        <v>2872</v>
      </c>
      <c r="B43" s="596"/>
      <c r="C43" s="2446" t="e">
        <f>R43</f>
        <v>#DIV/0!</v>
      </c>
      <c r="D43" s="2446"/>
      <c r="E43" s="2446"/>
      <c r="F43" s="2446"/>
      <c r="G43" s="2446"/>
      <c r="H43" s="2446"/>
      <c r="I43" s="2446"/>
      <c r="J43" s="2446"/>
      <c r="K43" s="1516"/>
      <c r="L43" s="1997"/>
      <c r="M43" s="1998"/>
      <c r="N43" s="1998"/>
      <c r="O43" s="1998"/>
      <c r="P43" s="3624" t="str">
        <f>A43</f>
        <v>估价对象XX用房的比较价格（楼面单价，元/平方米）</v>
      </c>
      <c r="Q43" s="3625"/>
      <c r="R43" s="3763" t="e">
        <f>IF(F1="售价",ROUND(IF(D42="简单平均",AVERAGE(R42:V42),R42*F42+T42*H42+V42*J42),0),ROUND(IF(D42="简单平均",AVERAGE(R42:V42),R42*F42+T42*H42+V42*J42),1))</f>
        <v>#DIV/0!</v>
      </c>
      <c r="S43" s="3763"/>
      <c r="T43" s="3763"/>
      <c r="U43" s="3763"/>
      <c r="V43" s="3763"/>
      <c r="W43" s="3763"/>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2022-3</v>
      </c>
      <c r="D52" s="2489">
        <f>EDATE(C52,-1)</f>
        <v>44593</v>
      </c>
      <c r="E52" s="2489">
        <f t="shared" ref="E52:O52" si="16">EDATE(D52,-1)</f>
        <v>44562</v>
      </c>
      <c r="F52" s="2489">
        <f t="shared" si="16"/>
        <v>44531</v>
      </c>
      <c r="G52" s="2489">
        <f t="shared" si="16"/>
        <v>44501</v>
      </c>
      <c r="H52" s="2489">
        <f t="shared" si="16"/>
        <v>44470</v>
      </c>
      <c r="I52" s="2489">
        <f t="shared" si="16"/>
        <v>44440</v>
      </c>
      <c r="J52" s="2489">
        <f t="shared" si="16"/>
        <v>44409</v>
      </c>
      <c r="K52" s="2489">
        <f t="shared" si="16"/>
        <v>44378</v>
      </c>
      <c r="L52" s="2489">
        <f t="shared" si="16"/>
        <v>44348</v>
      </c>
      <c r="M52" s="2489">
        <f t="shared" si="16"/>
        <v>44317</v>
      </c>
      <c r="N52" s="2489">
        <f t="shared" si="16"/>
        <v>44287</v>
      </c>
      <c r="O52" s="2489">
        <f t="shared" si="16"/>
        <v>44256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2510</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2511</v>
      </c>
      <c r="C76" s="2410" t="s">
        <v>2512</v>
      </c>
      <c r="D76" s="2410" t="s">
        <v>2513</v>
      </c>
      <c r="E76" s="2410" t="s">
        <v>2514</v>
      </c>
      <c r="F76" s="2410" t="s">
        <v>2515</v>
      </c>
      <c r="G76" s="2410" t="s">
        <v>2516</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2509</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1872</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1873</v>
      </c>
    </row>
    <row r="6" spans="1:4" ht="18.75">
      <c r="A6" s="16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558" t="s">
        <v>2700</v>
      </c>
    </row>
    <row r="8" spans="1:4" ht="18.75">
      <c r="A8" s="1682" t="s">
        <v>1874</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1992</v>
      </c>
    </row>
    <row r="11" spans="1:4" ht="18.75">
      <c r="A11" s="1668" t="str">
        <f>TEXT(项目基本情况!D3,"yyyy年m月d日;;")&amp;IF(项目基本情况!B3=项目基本情况!D3,"（评估专业人员勘察现场之日）","")</f>
        <v>2022年3月2日</v>
      </c>
    </row>
    <row r="12" spans="1:4" ht="18.75">
      <c r="A12" s="1685" t="s">
        <v>1991</v>
      </c>
    </row>
    <row r="13" spans="1:4" ht="18.75">
      <c r="A13" s="1679" t="s">
        <v>2037</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2038</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2039</v>
      </c>
    </row>
    <row r="20" spans="1:1" ht="18.75">
      <c r="A20" s="238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2040</v>
      </c>
    </row>
    <row r="23" spans="1:1" ht="18.75">
      <c r="A23" s="2560" t="s">
        <v>2701</v>
      </c>
    </row>
    <row r="24" spans="1:1" ht="18.75">
      <c r="A24" s="1679" t="s">
        <v>2041</v>
      </c>
    </row>
    <row r="25" spans="1:1" ht="75">
      <c r="A25" s="1679" t="str">
        <f>定义!C53</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1993</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2042</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33" t="s">
        <v>776</v>
      </c>
      <c r="D4" s="3634"/>
      <c r="E4" s="3633" t="s">
        <v>777</v>
      </c>
      <c r="F4" s="3634"/>
      <c r="G4" s="3633" t="s">
        <v>778</v>
      </c>
      <c r="H4" s="3634"/>
      <c r="I4" s="3633" t="s">
        <v>779</v>
      </c>
      <c r="J4" s="3634"/>
      <c r="K4" s="490" t="s">
        <v>780</v>
      </c>
      <c r="L4" s="1986"/>
      <c r="M4" s="1987"/>
      <c r="N4" s="1987"/>
      <c r="O4" s="1987"/>
      <c r="P4" s="3635" t="s">
        <v>781</v>
      </c>
      <c r="Q4" s="3636"/>
      <c r="R4" s="3641" t="s">
        <v>777</v>
      </c>
      <c r="S4" s="3642"/>
      <c r="T4" s="3641" t="s">
        <v>778</v>
      </c>
      <c r="U4" s="3642"/>
      <c r="V4" s="3628" t="s">
        <v>779</v>
      </c>
      <c r="W4" s="3628"/>
      <c r="X4" s="1476"/>
      <c r="Y4" s="3641" t="s">
        <v>781</v>
      </c>
      <c r="Z4" s="3642"/>
      <c r="AA4" s="3630" t="s">
        <v>777</v>
      </c>
      <c r="AB4" s="3631" t="s">
        <v>778</v>
      </c>
      <c r="AC4" s="3630" t="s">
        <v>779</v>
      </c>
    </row>
    <row r="5" spans="1:29" ht="15">
      <c r="A5" s="491"/>
      <c r="B5" s="492"/>
      <c r="C5" s="3649" t="s">
        <v>2866</v>
      </c>
      <c r="D5" s="3650"/>
      <c r="E5" s="3649" t="s">
        <v>2867</v>
      </c>
      <c r="F5" s="3650"/>
      <c r="G5" s="3649" t="s">
        <v>2868</v>
      </c>
      <c r="H5" s="3650"/>
      <c r="I5" s="3649" t="s">
        <v>2869</v>
      </c>
      <c r="J5" s="3650"/>
      <c r="K5" s="490"/>
      <c r="L5" s="1986"/>
      <c r="M5" s="1987"/>
      <c r="N5" s="1987"/>
      <c r="O5" s="1987"/>
      <c r="P5" s="3637"/>
      <c r="Q5" s="3638"/>
      <c r="R5" s="3643"/>
      <c r="S5" s="3644"/>
      <c r="T5" s="3643"/>
      <c r="U5" s="3644"/>
      <c r="V5" s="3628"/>
      <c r="W5" s="3628"/>
      <c r="X5" s="1476"/>
      <c r="Y5" s="3643"/>
      <c r="Z5" s="3644"/>
      <c r="AA5" s="3631"/>
      <c r="AB5" s="3631"/>
      <c r="AC5" s="3631"/>
    </row>
    <row r="6" spans="1:29" ht="15.75" thickBot="1">
      <c r="A6" s="493"/>
      <c r="B6" s="494"/>
      <c r="C6" s="3647" t="s">
        <v>2870</v>
      </c>
      <c r="D6" s="3648"/>
      <c r="E6" s="3651" t="s">
        <v>2870</v>
      </c>
      <c r="F6" s="3652"/>
      <c r="G6" s="3647" t="s">
        <v>2870</v>
      </c>
      <c r="H6" s="3648"/>
      <c r="I6" s="3647" t="s">
        <v>2870</v>
      </c>
      <c r="J6" s="3648"/>
      <c r="K6" s="490" t="s">
        <v>506</v>
      </c>
      <c r="L6" s="1986"/>
      <c r="M6" s="1987"/>
      <c r="N6" s="1987"/>
      <c r="O6" s="1987"/>
      <c r="P6" s="3639"/>
      <c r="Q6" s="3640"/>
      <c r="R6" s="3643"/>
      <c r="S6" s="3644"/>
      <c r="T6" s="3645"/>
      <c r="U6" s="3646"/>
      <c r="V6" s="3628"/>
      <c r="W6" s="3628"/>
      <c r="X6" s="1476"/>
      <c r="Y6" s="3645"/>
      <c r="Z6" s="3646"/>
      <c r="AA6" s="3632"/>
      <c r="AB6" s="3632"/>
      <c r="AC6" s="3632"/>
    </row>
    <row r="7" spans="1:29" s="1185" customFormat="1" ht="15.75" thickBot="1">
      <c r="A7" s="2597"/>
      <c r="B7" s="2604" t="s">
        <v>507</v>
      </c>
      <c r="C7" s="495">
        <f>'数据-取费表'!B2</f>
        <v>44622</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58" t="s">
        <v>508</v>
      </c>
      <c r="Q7" s="3660"/>
      <c r="R7" s="1477" t="s">
        <v>8</v>
      </c>
      <c r="S7" s="1478">
        <f t="shared" ref="S7:S14" si="0">F7</f>
        <v>0</v>
      </c>
      <c r="T7" s="1477" t="s">
        <v>8</v>
      </c>
      <c r="U7" s="1478">
        <f t="shared" ref="U7:U14" si="1">H7</f>
        <v>0</v>
      </c>
      <c r="V7" s="1477" t="s">
        <v>8</v>
      </c>
      <c r="W7" s="1478">
        <f t="shared" ref="W7:W14" si="2">J7</f>
        <v>0</v>
      </c>
      <c r="X7" s="1479"/>
      <c r="Y7" s="3658" t="s">
        <v>508</v>
      </c>
      <c r="Z7" s="3659"/>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58" t="s">
        <v>511</v>
      </c>
      <c r="Q8" s="3659"/>
      <c r="R8" s="1477" t="s">
        <v>8</v>
      </c>
      <c r="S8" s="1478">
        <f t="shared" si="0"/>
        <v>0</v>
      </c>
      <c r="T8" s="1477" t="s">
        <v>8</v>
      </c>
      <c r="U8" s="1478">
        <f t="shared" si="1"/>
        <v>0</v>
      </c>
      <c r="V8" s="1477" t="s">
        <v>8</v>
      </c>
      <c r="W8" s="1478">
        <f t="shared" si="2"/>
        <v>0</v>
      </c>
      <c r="X8" s="1479"/>
      <c r="Y8" s="3658" t="s">
        <v>511</v>
      </c>
      <c r="Z8" s="3659"/>
      <c r="AA8" s="1480" t="e">
        <f t="shared" ref="AA8:AA36" si="3">D8/F8</f>
        <v>#DIV/0!</v>
      </c>
      <c r="AB8" s="1480" t="e">
        <f t="shared" ref="AB8:AB36" si="4">D8/H8</f>
        <v>#DIV/0!</v>
      </c>
      <c r="AC8" s="1480" t="e">
        <f t="shared" ref="AC8:AC36" si="5">D8/J8</f>
        <v>#DIV/0!</v>
      </c>
    </row>
    <row r="9" spans="1:29" s="1185" customFormat="1" ht="15">
      <c r="A9" s="2599"/>
      <c r="B9" s="2606" t="s">
        <v>2708</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27" t="s">
        <v>513</v>
      </c>
      <c r="Q9" s="1116" t="str">
        <f t="shared" ref="Q9:Q14" si="6">B9</f>
        <v>用途</v>
      </c>
      <c r="R9" s="1477" t="s">
        <v>8</v>
      </c>
      <c r="S9" s="1478">
        <f t="shared" si="0"/>
        <v>100</v>
      </c>
      <c r="T9" s="1477" t="s">
        <v>8</v>
      </c>
      <c r="U9" s="1478">
        <f t="shared" si="1"/>
        <v>100</v>
      </c>
      <c r="V9" s="1477" t="s">
        <v>8</v>
      </c>
      <c r="W9" s="1478">
        <f t="shared" si="2"/>
        <v>100</v>
      </c>
      <c r="X9" s="1479"/>
      <c r="Y9" s="3569" t="s">
        <v>514</v>
      </c>
      <c r="Z9" s="1115" t="str">
        <f t="shared" ref="Z9:Z14" si="7">Q9</f>
        <v>用途</v>
      </c>
      <c r="AA9" s="1480">
        <f t="shared" si="3"/>
        <v>1</v>
      </c>
      <c r="AB9" s="1480">
        <f t="shared" si="4"/>
        <v>1</v>
      </c>
      <c r="AC9" s="1480">
        <f t="shared" si="5"/>
        <v>1</v>
      </c>
    </row>
    <row r="10" spans="1:29" s="1266" customFormat="1" ht="27">
      <c r="A10" s="2600"/>
      <c r="B10" s="2605" t="s">
        <v>2709</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27"/>
      <c r="Q10" s="1116" t="str">
        <f t="shared" si="6"/>
        <v>土地使用年限（年）</v>
      </c>
      <c r="R10" s="1477" t="s">
        <v>8</v>
      </c>
      <c r="S10" s="1478">
        <f t="shared" si="0"/>
        <v>100</v>
      </c>
      <c r="T10" s="1477" t="s">
        <v>8</v>
      </c>
      <c r="U10" s="1478">
        <f t="shared" si="1"/>
        <v>100</v>
      </c>
      <c r="V10" s="1477" t="s">
        <v>8</v>
      </c>
      <c r="W10" s="1478">
        <f t="shared" si="2"/>
        <v>100</v>
      </c>
      <c r="X10" s="1479"/>
      <c r="Y10" s="3569"/>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27"/>
      <c r="Q11" s="1116">
        <f t="shared" si="6"/>
        <v>111</v>
      </c>
      <c r="R11" s="1477" t="s">
        <v>8</v>
      </c>
      <c r="S11" s="1478">
        <f t="shared" si="0"/>
        <v>100</v>
      </c>
      <c r="T11" s="1477" t="s">
        <v>8</v>
      </c>
      <c r="U11" s="1478">
        <f t="shared" si="1"/>
        <v>100</v>
      </c>
      <c r="V11" s="1477" t="s">
        <v>8</v>
      </c>
      <c r="W11" s="1478">
        <f t="shared" si="2"/>
        <v>100</v>
      </c>
      <c r="X11" s="1479"/>
      <c r="Y11" s="3569"/>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27"/>
      <c r="Q12" s="1116">
        <f t="shared" si="6"/>
        <v>111</v>
      </c>
      <c r="R12" s="1477" t="s">
        <v>8</v>
      </c>
      <c r="S12" s="1478">
        <f t="shared" si="0"/>
        <v>100</v>
      </c>
      <c r="T12" s="1477" t="s">
        <v>8</v>
      </c>
      <c r="U12" s="1478">
        <f t="shared" si="1"/>
        <v>100</v>
      </c>
      <c r="V12" s="1477" t="s">
        <v>8</v>
      </c>
      <c r="W12" s="1478">
        <f t="shared" si="2"/>
        <v>100</v>
      </c>
      <c r="X12" s="1479"/>
      <c r="Y12" s="3569"/>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27"/>
      <c r="Q13" s="1116">
        <f t="shared" si="6"/>
        <v>111</v>
      </c>
      <c r="R13" s="1477" t="s">
        <v>8</v>
      </c>
      <c r="S13" s="1478">
        <f t="shared" si="0"/>
        <v>100</v>
      </c>
      <c r="T13" s="1477" t="s">
        <v>8</v>
      </c>
      <c r="U13" s="1478">
        <f t="shared" si="1"/>
        <v>100</v>
      </c>
      <c r="V13" s="1477" t="s">
        <v>8</v>
      </c>
      <c r="W13" s="1478">
        <f t="shared" si="2"/>
        <v>100</v>
      </c>
      <c r="X13" s="1479"/>
      <c r="Y13" s="3569"/>
      <c r="Z13" s="1115">
        <f t="shared" si="7"/>
        <v>111</v>
      </c>
      <c r="AA13" s="1480">
        <f t="shared" si="3"/>
        <v>1</v>
      </c>
      <c r="AB13" s="1480">
        <f t="shared" si="4"/>
        <v>1</v>
      </c>
      <c r="AC13" s="1480">
        <f t="shared" si="5"/>
        <v>1</v>
      </c>
    </row>
    <row r="14" spans="1:29" ht="85.5">
      <c r="A14" s="2595" t="s">
        <v>2706</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61" t="s">
        <v>518</v>
      </c>
      <c r="Q14" s="1481" t="str">
        <f t="shared" si="6"/>
        <v>交通便捷度</v>
      </c>
      <c r="R14" s="1482" t="s">
        <v>8</v>
      </c>
      <c r="S14" s="1483">
        <f t="shared" si="0"/>
        <v>100</v>
      </c>
      <c r="T14" s="1482" t="s">
        <v>8</v>
      </c>
      <c r="U14" s="1483">
        <f t="shared" si="1"/>
        <v>100</v>
      </c>
      <c r="V14" s="1482" t="s">
        <v>8</v>
      </c>
      <c r="W14" s="1483">
        <f t="shared" si="2"/>
        <v>100</v>
      </c>
      <c r="X14" s="1476"/>
      <c r="Y14" s="3661"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662"/>
      <c r="Q15" s="1481"/>
      <c r="R15" s="1482"/>
      <c r="S15" s="1483"/>
      <c r="T15" s="1482"/>
      <c r="U15" s="1483"/>
      <c r="V15" s="1482"/>
      <c r="W15" s="1483"/>
      <c r="X15" s="1476"/>
      <c r="Y15" s="3662"/>
      <c r="Z15" s="1484"/>
      <c r="AA15" s="1485">
        <v>1</v>
      </c>
      <c r="AB15" s="1485">
        <v>1</v>
      </c>
      <c r="AC15" s="1485">
        <v>1</v>
      </c>
    </row>
    <row r="16" spans="1:29" ht="42.75">
      <c r="A16" s="491"/>
      <c r="B16" s="2415" t="s">
        <v>2499</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62"/>
      <c r="Q16" s="1481" t="str">
        <f>B16</f>
        <v>公共配套设施</v>
      </c>
      <c r="R16" s="1482" t="s">
        <v>8</v>
      </c>
      <c r="S16" s="1483">
        <f>F16</f>
        <v>100</v>
      </c>
      <c r="T16" s="1482" t="s">
        <v>8</v>
      </c>
      <c r="U16" s="1483">
        <f>H16</f>
        <v>100</v>
      </c>
      <c r="V16" s="1482" t="s">
        <v>8</v>
      </c>
      <c r="W16" s="1483">
        <f>J16</f>
        <v>100</v>
      </c>
      <c r="X16" s="1476"/>
      <c r="Y16" s="3662"/>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662"/>
      <c r="Q17" s="1481"/>
      <c r="R17" s="1482"/>
      <c r="S17" s="1483"/>
      <c r="T17" s="1482"/>
      <c r="U17" s="1483"/>
      <c r="V17" s="1482"/>
      <c r="W17" s="1483"/>
      <c r="X17" s="1476"/>
      <c r="Y17" s="3662"/>
      <c r="Z17" s="1484"/>
      <c r="AA17" s="1485">
        <v>1</v>
      </c>
      <c r="AB17" s="1485">
        <v>1</v>
      </c>
      <c r="AC17" s="1485">
        <v>1</v>
      </c>
    </row>
    <row r="18" spans="1:29" ht="28.5">
      <c r="A18" s="491"/>
      <c r="B18" s="2403" t="s">
        <v>2511</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62"/>
      <c r="Q18" s="2397" t="str">
        <f>B18</f>
        <v>基础设施水平</v>
      </c>
      <c r="R18" s="1482" t="s">
        <v>8</v>
      </c>
      <c r="S18" s="1483">
        <f>F18</f>
        <v>100</v>
      </c>
      <c r="T18" s="1482" t="s">
        <v>8</v>
      </c>
      <c r="U18" s="1483">
        <f>H18</f>
        <v>100</v>
      </c>
      <c r="V18" s="1482" t="s">
        <v>8</v>
      </c>
      <c r="W18" s="1483">
        <f>J18</f>
        <v>100</v>
      </c>
      <c r="X18" s="2399"/>
      <c r="Y18" s="3662"/>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662"/>
      <c r="Q19" s="2397"/>
      <c r="R19" s="1482"/>
      <c r="S19" s="1483"/>
      <c r="T19" s="1482"/>
      <c r="U19" s="1483"/>
      <c r="V19" s="1482"/>
      <c r="W19" s="1483"/>
      <c r="X19" s="2399"/>
      <c r="Y19" s="3662"/>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62"/>
      <c r="Q20" s="1481" t="str">
        <f>B20</f>
        <v>自然及人文环境</v>
      </c>
      <c r="R20" s="1482" t="s">
        <v>8</v>
      </c>
      <c r="S20" s="1483">
        <f>F20</f>
        <v>100</v>
      </c>
      <c r="T20" s="1482" t="s">
        <v>8</v>
      </c>
      <c r="U20" s="1483">
        <f>H20</f>
        <v>100</v>
      </c>
      <c r="V20" s="1482" t="s">
        <v>8</v>
      </c>
      <c r="W20" s="1483">
        <f>J20</f>
        <v>100</v>
      </c>
      <c r="X20" s="1476"/>
      <c r="Y20" s="3662"/>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662"/>
      <c r="Q21" s="1481"/>
      <c r="R21" s="1482"/>
      <c r="S21" s="1483"/>
      <c r="T21" s="1482"/>
      <c r="U21" s="1483"/>
      <c r="V21" s="1482"/>
      <c r="W21" s="1483"/>
      <c r="X21" s="1476"/>
      <c r="Y21" s="3662"/>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62"/>
      <c r="Q22" s="1481" t="str">
        <f>B22</f>
        <v>楼层</v>
      </c>
      <c r="R22" s="1482" t="s">
        <v>8</v>
      </c>
      <c r="S22" s="1483">
        <f>F22</f>
        <v>100</v>
      </c>
      <c r="T22" s="1482" t="s">
        <v>8</v>
      </c>
      <c r="U22" s="1483">
        <f>H22</f>
        <v>100</v>
      </c>
      <c r="V22" s="1482" t="s">
        <v>8</v>
      </c>
      <c r="W22" s="1483">
        <f>J22</f>
        <v>100</v>
      </c>
      <c r="X22" s="1476"/>
      <c r="Y22" s="3662"/>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62"/>
      <c r="Q23" s="1481">
        <f>B23</f>
        <v>111</v>
      </c>
      <c r="R23" s="1482" t="s">
        <v>8</v>
      </c>
      <c r="S23" s="1483">
        <f>F23</f>
        <v>100</v>
      </c>
      <c r="T23" s="1482" t="s">
        <v>8</v>
      </c>
      <c r="U23" s="1483">
        <f>H23</f>
        <v>100</v>
      </c>
      <c r="V23" s="1482" t="s">
        <v>8</v>
      </c>
      <c r="W23" s="1483">
        <f>J23</f>
        <v>100</v>
      </c>
      <c r="X23" s="1476"/>
      <c r="Y23" s="3662"/>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62"/>
      <c r="Q24" s="1481">
        <f t="shared" ref="Q24:Q36" si="11">B24</f>
        <v>111</v>
      </c>
      <c r="R24" s="1482" t="s">
        <v>8</v>
      </c>
      <c r="S24" s="1483">
        <f>F24</f>
        <v>100</v>
      </c>
      <c r="T24" s="1482" t="s">
        <v>8</v>
      </c>
      <c r="U24" s="1483">
        <f>H24</f>
        <v>100</v>
      </c>
      <c r="V24" s="1482" t="s">
        <v>8</v>
      </c>
      <c r="W24" s="1483">
        <f>J24</f>
        <v>100</v>
      </c>
      <c r="X24" s="1476"/>
      <c r="Y24" s="3662"/>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62"/>
      <c r="Q25" s="1116">
        <f t="shared" si="11"/>
        <v>111</v>
      </c>
      <c r="R25" s="1477" t="s">
        <v>8</v>
      </c>
      <c r="S25" s="1478">
        <f>F25</f>
        <v>100</v>
      </c>
      <c r="T25" s="1477" t="s">
        <v>8</v>
      </c>
      <c r="U25" s="1478">
        <f>H25</f>
        <v>100</v>
      </c>
      <c r="V25" s="1477" t="s">
        <v>8</v>
      </c>
      <c r="W25" s="1478">
        <f>J25</f>
        <v>100</v>
      </c>
      <c r="X25" s="1479"/>
      <c r="Y25" s="3662"/>
      <c r="Z25" s="1115">
        <f>Q25</f>
        <v>111</v>
      </c>
      <c r="AA25" s="1485">
        <f>D25/F25</f>
        <v>1</v>
      </c>
      <c r="AB25" s="1485">
        <f>D25/H25</f>
        <v>1</v>
      </c>
      <c r="AC25" s="1485">
        <f>D25/J25</f>
        <v>1</v>
      </c>
    </row>
    <row r="26" spans="1:29" ht="15">
      <c r="A26" s="2592" t="s">
        <v>2707</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63"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64"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64"/>
      <c r="Q27" s="1510" t="str">
        <f t="shared" si="11"/>
        <v>项目停车位配比</v>
      </c>
      <c r="R27" s="1486" t="s">
        <v>8</v>
      </c>
      <c r="S27" s="1487">
        <f t="shared" si="12"/>
        <v>100</v>
      </c>
      <c r="T27" s="1486" t="s">
        <v>8</v>
      </c>
      <c r="U27" s="1487">
        <f t="shared" si="13"/>
        <v>100</v>
      </c>
      <c r="V27" s="1486" t="s">
        <v>8</v>
      </c>
      <c r="W27" s="1487">
        <f t="shared" si="14"/>
        <v>100</v>
      </c>
      <c r="X27" s="1488"/>
      <c r="Y27" s="3664"/>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64"/>
      <c r="Q28" s="1481" t="str">
        <f t="shared" si="11"/>
        <v>公共部分装修</v>
      </c>
      <c r="R28" s="1482" t="s">
        <v>8</v>
      </c>
      <c r="S28" s="1483">
        <f t="shared" si="12"/>
        <v>100</v>
      </c>
      <c r="T28" s="1482" t="s">
        <v>8</v>
      </c>
      <c r="U28" s="1483">
        <f t="shared" si="13"/>
        <v>100</v>
      </c>
      <c r="V28" s="1482" t="s">
        <v>8</v>
      </c>
      <c r="W28" s="1483">
        <f t="shared" si="14"/>
        <v>100</v>
      </c>
      <c r="X28" s="1476"/>
      <c r="Y28" s="3664"/>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64"/>
      <c r="Q29" s="1481" t="str">
        <f t="shared" si="11"/>
        <v>成新率</v>
      </c>
      <c r="R29" s="1482" t="s">
        <v>8</v>
      </c>
      <c r="S29" s="1483" t="e">
        <f t="shared" si="12"/>
        <v>#N/A</v>
      </c>
      <c r="T29" s="1482" t="s">
        <v>8</v>
      </c>
      <c r="U29" s="1483" t="e">
        <f t="shared" si="13"/>
        <v>#N/A</v>
      </c>
      <c r="V29" s="1482" t="s">
        <v>8</v>
      </c>
      <c r="W29" s="1483" t="e">
        <f t="shared" si="14"/>
        <v>#N/A</v>
      </c>
      <c r="X29" s="1476"/>
      <c r="Y29" s="3664"/>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64"/>
      <c r="Q30" s="1481" t="str">
        <f t="shared" si="11"/>
        <v>物业等级</v>
      </c>
      <c r="R30" s="1482" t="s">
        <v>8</v>
      </c>
      <c r="S30" s="1483">
        <f t="shared" si="12"/>
        <v>100</v>
      </c>
      <c r="T30" s="1482" t="s">
        <v>8</v>
      </c>
      <c r="U30" s="1483">
        <f t="shared" si="13"/>
        <v>100</v>
      </c>
      <c r="V30" s="1482" t="s">
        <v>8</v>
      </c>
      <c r="W30" s="1483">
        <f t="shared" si="14"/>
        <v>100</v>
      </c>
      <c r="X30" s="1476"/>
      <c r="Y30" s="3664"/>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64"/>
      <c r="Q31" s="1116" t="str">
        <f t="shared" si="11"/>
        <v>停车位面积</v>
      </c>
      <c r="R31" s="1477" t="s">
        <v>8</v>
      </c>
      <c r="S31" s="1478" t="e">
        <f t="shared" si="12"/>
        <v>#N/A</v>
      </c>
      <c r="T31" s="1477" t="s">
        <v>8</v>
      </c>
      <c r="U31" s="1478" t="e">
        <f t="shared" si="13"/>
        <v>#N/A</v>
      </c>
      <c r="V31" s="1477" t="s">
        <v>8</v>
      </c>
      <c r="W31" s="1478" t="e">
        <f t="shared" si="14"/>
        <v>#N/A</v>
      </c>
      <c r="X31" s="1479"/>
      <c r="Y31" s="3664"/>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64" t="s">
        <v>528</v>
      </c>
      <c r="Q32" s="1481" t="str">
        <f t="shared" si="11"/>
        <v>车位类型</v>
      </c>
      <c r="R32" s="1482" t="s">
        <v>8</v>
      </c>
      <c r="S32" s="1483">
        <f t="shared" si="12"/>
        <v>100</v>
      </c>
      <c r="T32" s="1482" t="s">
        <v>8</v>
      </c>
      <c r="U32" s="1483">
        <f t="shared" si="13"/>
        <v>100</v>
      </c>
      <c r="V32" s="1482" t="s">
        <v>8</v>
      </c>
      <c r="W32" s="1483">
        <f t="shared" si="14"/>
        <v>100</v>
      </c>
      <c r="X32" s="1476"/>
      <c r="Y32" s="3664"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64"/>
      <c r="Q33" s="1481" t="str">
        <f t="shared" si="11"/>
        <v>是否直接入户</v>
      </c>
      <c r="R33" s="1482" t="s">
        <v>8</v>
      </c>
      <c r="S33" s="1483">
        <f t="shared" si="12"/>
        <v>100</v>
      </c>
      <c r="T33" s="1482" t="s">
        <v>8</v>
      </c>
      <c r="U33" s="1483">
        <f t="shared" si="13"/>
        <v>100</v>
      </c>
      <c r="V33" s="1482" t="s">
        <v>8</v>
      </c>
      <c r="W33" s="1483">
        <f t="shared" si="14"/>
        <v>100</v>
      </c>
      <c r="X33" s="1476"/>
      <c r="Y33" s="3664"/>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64"/>
      <c r="Q34" s="1481">
        <f t="shared" si="11"/>
        <v>111</v>
      </c>
      <c r="R34" s="1482" t="s">
        <v>8</v>
      </c>
      <c r="S34" s="1483">
        <f t="shared" si="12"/>
        <v>100</v>
      </c>
      <c r="T34" s="1482" t="s">
        <v>8</v>
      </c>
      <c r="U34" s="1483">
        <f t="shared" si="13"/>
        <v>100</v>
      </c>
      <c r="V34" s="1482" t="s">
        <v>8</v>
      </c>
      <c r="W34" s="1483">
        <f t="shared" si="14"/>
        <v>100</v>
      </c>
      <c r="X34" s="1476"/>
      <c r="Y34" s="3664"/>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64"/>
      <c r="Q35" s="1510">
        <f t="shared" si="11"/>
        <v>111</v>
      </c>
      <c r="R35" s="1486" t="s">
        <v>8</v>
      </c>
      <c r="S35" s="1487">
        <f t="shared" si="12"/>
        <v>100</v>
      </c>
      <c r="T35" s="1486" t="s">
        <v>8</v>
      </c>
      <c r="U35" s="1487">
        <f t="shared" si="13"/>
        <v>100</v>
      </c>
      <c r="V35" s="1486" t="s">
        <v>8</v>
      </c>
      <c r="W35" s="1487">
        <f t="shared" si="14"/>
        <v>100</v>
      </c>
      <c r="X35" s="1488"/>
      <c r="Y35" s="3664"/>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64"/>
      <c r="Q36" s="1481">
        <f t="shared" si="11"/>
        <v>111</v>
      </c>
      <c r="R36" s="1482" t="s">
        <v>8</v>
      </c>
      <c r="S36" s="1483">
        <f t="shared" si="12"/>
        <v>100</v>
      </c>
      <c r="T36" s="1482" t="s">
        <v>8</v>
      </c>
      <c r="U36" s="1483">
        <f t="shared" si="13"/>
        <v>100</v>
      </c>
      <c r="V36" s="1482" t="s">
        <v>8</v>
      </c>
      <c r="W36" s="1483">
        <f t="shared" si="14"/>
        <v>100</v>
      </c>
      <c r="X36" s="1476"/>
      <c r="Y36" s="3664"/>
      <c r="Z36" s="1484">
        <f t="shared" si="15"/>
        <v>111</v>
      </c>
      <c r="AA36" s="1485">
        <f t="shared" si="3"/>
        <v>1</v>
      </c>
      <c r="AB36" s="1485">
        <f t="shared" si="4"/>
        <v>1</v>
      </c>
      <c r="AC36" s="1485">
        <f t="shared" si="5"/>
        <v>1</v>
      </c>
    </row>
    <row r="37" spans="1:29" ht="15">
      <c r="A37" s="1733" t="s">
        <v>2043</v>
      </c>
      <c r="B37" s="1734" t="s">
        <v>2044</v>
      </c>
      <c r="C37" s="2438" t="s">
        <v>1</v>
      </c>
      <c r="D37" s="2439"/>
      <c r="E37" s="2440"/>
      <c r="F37" s="2441"/>
      <c r="G37" s="2442"/>
      <c r="H37" s="2443"/>
      <c r="I37" s="2440"/>
      <c r="J37" s="2443"/>
      <c r="K37" s="1515"/>
      <c r="L37" s="1997"/>
      <c r="M37" s="1998"/>
      <c r="N37" s="1987"/>
      <c r="O37" s="1998"/>
      <c r="P37" s="3627" t="str">
        <f>A37</f>
        <v>成交单价</v>
      </c>
      <c r="Q37" s="3627"/>
      <c r="R37" s="3764">
        <f>E37</f>
        <v>0</v>
      </c>
      <c r="S37" s="3764"/>
      <c r="T37" s="3764">
        <f>G37</f>
        <v>0</v>
      </c>
      <c r="U37" s="3764"/>
      <c r="V37" s="3764">
        <f>I37</f>
        <v>0</v>
      </c>
      <c r="W37" s="3764"/>
      <c r="X37" s="1471"/>
      <c r="Y37" s="1490"/>
      <c r="Z37" s="1471"/>
      <c r="AA37" s="1471"/>
      <c r="AB37" s="1471"/>
      <c r="AC37" s="1471"/>
    </row>
    <row r="38" spans="1:29" ht="15.75" thickBot="1">
      <c r="A38" s="591" t="s">
        <v>2712</v>
      </c>
      <c r="B38" s="859"/>
      <c r="C38" s="2444" t="e">
        <f>R39</f>
        <v>#DIV/0!</v>
      </c>
      <c r="D38" s="2980" t="s">
        <v>2936</v>
      </c>
      <c r="E38" s="2445" t="e">
        <f>R38</f>
        <v>#DIV/0!</v>
      </c>
      <c r="F38" s="2981"/>
      <c r="G38" s="2444" t="e">
        <f>T38</f>
        <v>#DIV/0!</v>
      </c>
      <c r="H38" s="2981"/>
      <c r="I38" s="2445" t="e">
        <f>V38</f>
        <v>#DIV/0!</v>
      </c>
      <c r="J38" s="2981"/>
      <c r="K38" s="2989">
        <f>F38+H38+J38</f>
        <v>0</v>
      </c>
      <c r="L38" s="1997"/>
      <c r="M38" s="1998"/>
      <c r="N38" s="1998"/>
      <c r="O38" s="1998"/>
      <c r="P38" s="3627" t="str">
        <f>A38</f>
        <v>比较价格（元/平方米）</v>
      </c>
      <c r="Q38" s="3627"/>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1471"/>
      <c r="Y38" s="1471"/>
      <c r="Z38" s="1471"/>
      <c r="AA38" s="1471"/>
      <c r="AB38" s="1471"/>
      <c r="AC38" s="1471"/>
    </row>
    <row r="39" spans="1:29" ht="15.75" thickBot="1">
      <c r="A39" s="595" t="s">
        <v>2872</v>
      </c>
      <c r="B39" s="596"/>
      <c r="C39" s="2446" t="e">
        <f>R39</f>
        <v>#DIV/0!</v>
      </c>
      <c r="D39" s="2446"/>
      <c r="E39" s="2446"/>
      <c r="F39" s="2446"/>
      <c r="G39" s="2446"/>
      <c r="H39" s="2446"/>
      <c r="I39" s="2446"/>
      <c r="J39" s="2446"/>
      <c r="K39" s="1516"/>
      <c r="L39" s="1997"/>
      <c r="M39" s="1998"/>
      <c r="N39" s="1998"/>
      <c r="O39" s="1998"/>
      <c r="P39" s="3624" t="str">
        <f>A39</f>
        <v>估价对象XX用房的比较价格（楼面单价，元/平方米）</v>
      </c>
      <c r="Q39" s="3625"/>
      <c r="R39" s="3763" t="e">
        <f>IF(F1="售价",ROUND(IF(D38="简单平均",AVERAGE(R38:W38),R38*F38+T38*H38+V38*J38),0),ROUND(IF(D38="简单平均",AVERAGE(R38:V38),R38*F38+T38*H38+V38*J38),1))</f>
        <v>#DIV/0!</v>
      </c>
      <c r="S39" s="3763"/>
      <c r="T39" s="3763"/>
      <c r="U39" s="3763"/>
      <c r="V39" s="3763"/>
      <c r="W39" s="3763"/>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2022-3</v>
      </c>
      <c r="D48" s="2489">
        <f>EDATE(C48,-1)</f>
        <v>44593</v>
      </c>
      <c r="E48" s="2489">
        <f t="shared" ref="E48:O48" si="16">EDATE(D48,-1)</f>
        <v>44562</v>
      </c>
      <c r="F48" s="2489">
        <f t="shared" si="16"/>
        <v>44531</v>
      </c>
      <c r="G48" s="2489">
        <f t="shared" si="16"/>
        <v>44501</v>
      </c>
      <c r="H48" s="2489">
        <f t="shared" si="16"/>
        <v>44470</v>
      </c>
      <c r="I48" s="2489">
        <f t="shared" si="16"/>
        <v>44440</v>
      </c>
      <c r="J48" s="2489">
        <f t="shared" si="16"/>
        <v>44409</v>
      </c>
      <c r="K48" s="2489">
        <f t="shared" si="16"/>
        <v>44378</v>
      </c>
      <c r="L48" s="2489">
        <f t="shared" si="16"/>
        <v>44348</v>
      </c>
      <c r="M48" s="2489">
        <f t="shared" si="16"/>
        <v>44317</v>
      </c>
      <c r="N48" s="2489">
        <f t="shared" si="16"/>
        <v>44287</v>
      </c>
      <c r="O48" s="2489">
        <f t="shared" si="16"/>
        <v>44256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2510</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2511</v>
      </c>
      <c r="C67" s="2410" t="s">
        <v>2512</v>
      </c>
      <c r="D67" s="2410" t="s">
        <v>2513</v>
      </c>
      <c r="E67" s="2410" t="s">
        <v>2514</v>
      </c>
      <c r="F67" s="2410" t="s">
        <v>2515</v>
      </c>
      <c r="G67" s="2410" t="s">
        <v>2516</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33" t="s">
        <v>776</v>
      </c>
      <c r="D4" s="3634"/>
      <c r="E4" s="3667" t="s">
        <v>777</v>
      </c>
      <c r="F4" s="3668"/>
      <c r="G4" s="3633" t="s">
        <v>778</v>
      </c>
      <c r="H4" s="3634"/>
      <c r="I4" s="3633" t="s">
        <v>779</v>
      </c>
      <c r="J4" s="3634"/>
      <c r="K4" s="490" t="s">
        <v>780</v>
      </c>
      <c r="L4" s="1986"/>
      <c r="M4" s="1987"/>
      <c r="N4" s="1987"/>
      <c r="O4" s="1987"/>
      <c r="P4" s="3635" t="s">
        <v>781</v>
      </c>
      <c r="Q4" s="3636"/>
      <c r="R4" s="3641" t="s">
        <v>777</v>
      </c>
      <c r="S4" s="3642"/>
      <c r="T4" s="3641" t="s">
        <v>778</v>
      </c>
      <c r="U4" s="3642"/>
      <c r="V4" s="3628" t="s">
        <v>779</v>
      </c>
      <c r="W4" s="3628"/>
      <c r="X4" s="1476"/>
      <c r="Y4" s="3641" t="s">
        <v>781</v>
      </c>
      <c r="Z4" s="3642"/>
      <c r="AA4" s="3630" t="s">
        <v>777</v>
      </c>
      <c r="AB4" s="3631" t="s">
        <v>778</v>
      </c>
      <c r="AC4" s="3630" t="s">
        <v>779</v>
      </c>
    </row>
    <row r="5" spans="1:29" ht="15">
      <c r="A5" s="491"/>
      <c r="B5" s="492"/>
      <c r="C5" s="3649" t="s">
        <v>2866</v>
      </c>
      <c r="D5" s="3650"/>
      <c r="E5" s="3669" t="s">
        <v>2867</v>
      </c>
      <c r="F5" s="3670"/>
      <c r="G5" s="3649" t="s">
        <v>2868</v>
      </c>
      <c r="H5" s="3650"/>
      <c r="I5" s="3649" t="s">
        <v>2869</v>
      </c>
      <c r="J5" s="3650"/>
      <c r="K5" s="490"/>
      <c r="L5" s="1986"/>
      <c r="M5" s="1987"/>
      <c r="N5" s="1987"/>
      <c r="O5" s="1987"/>
      <c r="P5" s="3637"/>
      <c r="Q5" s="3638"/>
      <c r="R5" s="3643"/>
      <c r="S5" s="3644"/>
      <c r="T5" s="3643"/>
      <c r="U5" s="3644"/>
      <c r="V5" s="3628"/>
      <c r="W5" s="3628"/>
      <c r="X5" s="1476"/>
      <c r="Y5" s="3643"/>
      <c r="Z5" s="3644"/>
      <c r="AA5" s="3631"/>
      <c r="AB5" s="3631"/>
      <c r="AC5" s="3631"/>
    </row>
    <row r="6" spans="1:29" ht="15.75" thickBot="1">
      <c r="A6" s="493"/>
      <c r="B6" s="494"/>
      <c r="C6" s="3647" t="s">
        <v>2870</v>
      </c>
      <c r="D6" s="3648"/>
      <c r="E6" s="3665" t="s">
        <v>2870</v>
      </c>
      <c r="F6" s="3666"/>
      <c r="G6" s="3647" t="s">
        <v>2870</v>
      </c>
      <c r="H6" s="3648"/>
      <c r="I6" s="3647" t="s">
        <v>2870</v>
      </c>
      <c r="J6" s="3648"/>
      <c r="K6" s="490" t="s">
        <v>506</v>
      </c>
      <c r="L6" s="1986"/>
      <c r="M6" s="1987"/>
      <c r="N6" s="1987"/>
      <c r="O6" s="1987"/>
      <c r="P6" s="3639"/>
      <c r="Q6" s="3640"/>
      <c r="R6" s="3643"/>
      <c r="S6" s="3644"/>
      <c r="T6" s="3645"/>
      <c r="U6" s="3646"/>
      <c r="V6" s="3628"/>
      <c r="W6" s="3628"/>
      <c r="X6" s="1476"/>
      <c r="Y6" s="3645"/>
      <c r="Z6" s="3646"/>
      <c r="AA6" s="3632"/>
      <c r="AB6" s="3632"/>
      <c r="AC6" s="3632"/>
    </row>
    <row r="7" spans="1:29" s="1185" customFormat="1" ht="15.75" thickBot="1">
      <c r="A7" s="2597"/>
      <c r="B7" s="2604" t="s">
        <v>507</v>
      </c>
      <c r="C7" s="495">
        <f>'数据-取费表'!B2</f>
        <v>44622</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58" t="s">
        <v>508</v>
      </c>
      <c r="Q7" s="3660"/>
      <c r="R7" s="1477" t="s">
        <v>8</v>
      </c>
      <c r="S7" s="1478">
        <f t="shared" ref="S7:S14" si="0">F7</f>
        <v>0</v>
      </c>
      <c r="T7" s="1477" t="s">
        <v>8</v>
      </c>
      <c r="U7" s="1478">
        <f t="shared" ref="U7:U14" si="1">H7</f>
        <v>0</v>
      </c>
      <c r="V7" s="1477" t="s">
        <v>8</v>
      </c>
      <c r="W7" s="1478">
        <f t="shared" ref="W7:W14" si="2">J7</f>
        <v>0</v>
      </c>
      <c r="X7" s="1479"/>
      <c r="Y7" s="3658" t="s">
        <v>508</v>
      </c>
      <c r="Z7" s="3659"/>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58" t="s">
        <v>511</v>
      </c>
      <c r="Q8" s="3659"/>
      <c r="R8" s="1477" t="s">
        <v>8</v>
      </c>
      <c r="S8" s="1478">
        <f t="shared" si="0"/>
        <v>0</v>
      </c>
      <c r="T8" s="1477" t="s">
        <v>8</v>
      </c>
      <c r="U8" s="1478">
        <f t="shared" si="1"/>
        <v>0</v>
      </c>
      <c r="V8" s="1477" t="s">
        <v>8</v>
      </c>
      <c r="W8" s="1478">
        <f t="shared" si="2"/>
        <v>0</v>
      </c>
      <c r="X8" s="1479"/>
      <c r="Y8" s="3658" t="s">
        <v>511</v>
      </c>
      <c r="Z8" s="3659"/>
      <c r="AA8" s="1480" t="e">
        <f t="shared" ref="AA8:AA34" si="3">D8/F8</f>
        <v>#DIV/0!</v>
      </c>
      <c r="AB8" s="1480" t="e">
        <f t="shared" ref="AB8:AB34" si="4">D8/H8</f>
        <v>#DIV/0!</v>
      </c>
      <c r="AC8" s="1480" t="e">
        <f t="shared" ref="AC8:AC34" si="5">D8/J8</f>
        <v>#DIV/0!</v>
      </c>
    </row>
    <row r="9" spans="1:29" s="1185" customFormat="1" ht="15">
      <c r="A9" s="2599"/>
      <c r="B9" s="2606" t="s">
        <v>2708</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27" t="s">
        <v>513</v>
      </c>
      <c r="Q9" s="1116" t="str">
        <f t="shared" ref="Q9:Q14" si="6">B9</f>
        <v>用途</v>
      </c>
      <c r="R9" s="1477" t="s">
        <v>8</v>
      </c>
      <c r="S9" s="1478">
        <f t="shared" si="0"/>
        <v>100</v>
      </c>
      <c r="T9" s="1477" t="s">
        <v>8</v>
      </c>
      <c r="U9" s="1478">
        <f t="shared" si="1"/>
        <v>100</v>
      </c>
      <c r="V9" s="1477" t="s">
        <v>8</v>
      </c>
      <c r="W9" s="1478">
        <f t="shared" si="2"/>
        <v>100</v>
      </c>
      <c r="X9" s="1479"/>
      <c r="Y9" s="3569" t="s">
        <v>514</v>
      </c>
      <c r="Z9" s="1115" t="str">
        <f t="shared" ref="Z9:Z14" si="7">Q9</f>
        <v>用途</v>
      </c>
      <c r="AA9" s="1480">
        <f t="shared" si="3"/>
        <v>1</v>
      </c>
      <c r="AB9" s="1480">
        <f t="shared" si="4"/>
        <v>1</v>
      </c>
      <c r="AC9" s="1480">
        <f t="shared" si="5"/>
        <v>1</v>
      </c>
    </row>
    <row r="10" spans="1:29" s="1266" customFormat="1" ht="27">
      <c r="A10" s="2600"/>
      <c r="B10" s="2605" t="s">
        <v>2709</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27"/>
      <c r="Q10" s="1116" t="str">
        <f t="shared" si="6"/>
        <v>土地使用年限（年）</v>
      </c>
      <c r="R10" s="1477" t="s">
        <v>8</v>
      </c>
      <c r="S10" s="1478">
        <f t="shared" si="0"/>
        <v>100</v>
      </c>
      <c r="T10" s="1477" t="s">
        <v>8</v>
      </c>
      <c r="U10" s="1478">
        <f t="shared" si="1"/>
        <v>100</v>
      </c>
      <c r="V10" s="1477" t="s">
        <v>8</v>
      </c>
      <c r="W10" s="1478">
        <f t="shared" si="2"/>
        <v>100</v>
      </c>
      <c r="X10" s="1479"/>
      <c r="Y10" s="3569"/>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27"/>
      <c r="Q11" s="1116">
        <f t="shared" si="6"/>
        <v>111</v>
      </c>
      <c r="R11" s="1477" t="s">
        <v>8</v>
      </c>
      <c r="S11" s="1478">
        <f t="shared" si="0"/>
        <v>100</v>
      </c>
      <c r="T11" s="1477" t="s">
        <v>8</v>
      </c>
      <c r="U11" s="1478">
        <f t="shared" si="1"/>
        <v>100</v>
      </c>
      <c r="V11" s="1477" t="s">
        <v>8</v>
      </c>
      <c r="W11" s="1478">
        <f t="shared" si="2"/>
        <v>100</v>
      </c>
      <c r="X11" s="1479"/>
      <c r="Y11" s="3569"/>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27"/>
      <c r="Q12" s="1116">
        <f t="shared" si="6"/>
        <v>111</v>
      </c>
      <c r="R12" s="1477" t="s">
        <v>8</v>
      </c>
      <c r="S12" s="1478">
        <f t="shared" si="0"/>
        <v>100</v>
      </c>
      <c r="T12" s="1477" t="s">
        <v>8</v>
      </c>
      <c r="U12" s="1478">
        <f t="shared" si="1"/>
        <v>100</v>
      </c>
      <c r="V12" s="1477" t="s">
        <v>8</v>
      </c>
      <c r="W12" s="1478">
        <f t="shared" si="2"/>
        <v>100</v>
      </c>
      <c r="X12" s="1479"/>
      <c r="Y12" s="3569"/>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27"/>
      <c r="Q13" s="1116">
        <f t="shared" si="6"/>
        <v>111</v>
      </c>
      <c r="R13" s="1477" t="s">
        <v>8</v>
      </c>
      <c r="S13" s="1478">
        <f t="shared" si="0"/>
        <v>100</v>
      </c>
      <c r="T13" s="1477" t="s">
        <v>8</v>
      </c>
      <c r="U13" s="1478">
        <f t="shared" si="1"/>
        <v>100</v>
      </c>
      <c r="V13" s="1477" t="s">
        <v>8</v>
      </c>
      <c r="W13" s="1478">
        <f t="shared" si="2"/>
        <v>100</v>
      </c>
      <c r="X13" s="1479"/>
      <c r="Y13" s="3569"/>
      <c r="Z13" s="1115">
        <f t="shared" si="7"/>
        <v>111</v>
      </c>
      <c r="AA13" s="1480">
        <f t="shared" si="3"/>
        <v>1</v>
      </c>
      <c r="AB13" s="1480">
        <f t="shared" si="4"/>
        <v>1</v>
      </c>
      <c r="AC13" s="1480">
        <f t="shared" si="5"/>
        <v>1</v>
      </c>
    </row>
    <row r="14" spans="1:29" ht="85.5">
      <c r="A14" s="2595" t="s">
        <v>2706</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61" t="s">
        <v>518</v>
      </c>
      <c r="Q14" s="1481" t="str">
        <f t="shared" si="6"/>
        <v>交通便捷度</v>
      </c>
      <c r="R14" s="1482" t="s">
        <v>8</v>
      </c>
      <c r="S14" s="1483">
        <f t="shared" si="0"/>
        <v>100</v>
      </c>
      <c r="T14" s="1482" t="s">
        <v>8</v>
      </c>
      <c r="U14" s="1483">
        <f t="shared" si="1"/>
        <v>100</v>
      </c>
      <c r="V14" s="1482" t="s">
        <v>8</v>
      </c>
      <c r="W14" s="1483">
        <f t="shared" si="2"/>
        <v>100</v>
      </c>
      <c r="X14" s="1476"/>
      <c r="Y14" s="3661"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662"/>
      <c r="Q15" s="1481"/>
      <c r="R15" s="1482"/>
      <c r="S15" s="1483"/>
      <c r="T15" s="1482"/>
      <c r="U15" s="1483"/>
      <c r="V15" s="1482"/>
      <c r="W15" s="1483"/>
      <c r="X15" s="1476"/>
      <c r="Y15" s="3662"/>
      <c r="Z15" s="1484"/>
      <c r="AA15" s="1485">
        <v>1</v>
      </c>
      <c r="AB15" s="1485">
        <v>1</v>
      </c>
      <c r="AC15" s="1485">
        <v>1</v>
      </c>
    </row>
    <row r="16" spans="1:29" ht="42.75">
      <c r="A16" s="508"/>
      <c r="B16" s="2415" t="s">
        <v>2499</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62"/>
      <c r="Q16" s="1481" t="str">
        <f>B16</f>
        <v>公共配套设施</v>
      </c>
      <c r="R16" s="1482" t="s">
        <v>8</v>
      </c>
      <c r="S16" s="1483">
        <f>F16</f>
        <v>100</v>
      </c>
      <c r="T16" s="1482" t="s">
        <v>8</v>
      </c>
      <c r="U16" s="1483">
        <f>H16</f>
        <v>100</v>
      </c>
      <c r="V16" s="1482" t="s">
        <v>8</v>
      </c>
      <c r="W16" s="1483">
        <f>J16</f>
        <v>100</v>
      </c>
      <c r="X16" s="1476"/>
      <c r="Y16" s="3662"/>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662"/>
      <c r="Q17" s="1481"/>
      <c r="R17" s="1482"/>
      <c r="S17" s="1483"/>
      <c r="T17" s="1482"/>
      <c r="U17" s="1483"/>
      <c r="V17" s="1482"/>
      <c r="W17" s="1483"/>
      <c r="X17" s="1476"/>
      <c r="Y17" s="3662"/>
      <c r="Z17" s="1484"/>
      <c r="AA17" s="1485">
        <v>1</v>
      </c>
      <c r="AB17" s="1485">
        <v>1</v>
      </c>
      <c r="AC17" s="1485">
        <v>1</v>
      </c>
    </row>
    <row r="18" spans="1:29" ht="28.5">
      <c r="A18" s="508"/>
      <c r="B18" s="2403" t="s">
        <v>2511</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62"/>
      <c r="Q18" s="2397" t="str">
        <f>B18</f>
        <v>基础设施水平</v>
      </c>
      <c r="R18" s="1482" t="s">
        <v>8</v>
      </c>
      <c r="S18" s="1483">
        <f>F18</f>
        <v>100</v>
      </c>
      <c r="T18" s="1482" t="s">
        <v>8</v>
      </c>
      <c r="U18" s="1483">
        <f>H18</f>
        <v>100</v>
      </c>
      <c r="V18" s="1482" t="s">
        <v>8</v>
      </c>
      <c r="W18" s="1483">
        <f>J18</f>
        <v>100</v>
      </c>
      <c r="X18" s="2399"/>
      <c r="Y18" s="3662"/>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662"/>
      <c r="Q19" s="2397"/>
      <c r="R19" s="1482"/>
      <c r="S19" s="1483"/>
      <c r="T19" s="1482"/>
      <c r="U19" s="1483"/>
      <c r="V19" s="1482"/>
      <c r="W19" s="1483"/>
      <c r="X19" s="2399"/>
      <c r="Y19" s="3662"/>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62"/>
      <c r="Q20" s="1481" t="str">
        <f>B20</f>
        <v>自然及人文环境</v>
      </c>
      <c r="R20" s="1482" t="s">
        <v>8</v>
      </c>
      <c r="S20" s="1483">
        <f>F20</f>
        <v>100</v>
      </c>
      <c r="T20" s="1482" t="s">
        <v>8</v>
      </c>
      <c r="U20" s="1483">
        <f>H20</f>
        <v>100</v>
      </c>
      <c r="V20" s="1482" t="s">
        <v>8</v>
      </c>
      <c r="W20" s="1483">
        <f>J20</f>
        <v>100</v>
      </c>
      <c r="X20" s="1476"/>
      <c r="Y20" s="3662"/>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662"/>
      <c r="Q21" s="1481"/>
      <c r="R21" s="1482"/>
      <c r="S21" s="1483"/>
      <c r="T21" s="1482"/>
      <c r="U21" s="1483"/>
      <c r="V21" s="1482"/>
      <c r="W21" s="1483"/>
      <c r="X21" s="1476"/>
      <c r="Y21" s="3662"/>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62"/>
      <c r="Q22" s="1481" t="str">
        <f>B22</f>
        <v>楼层</v>
      </c>
      <c r="R22" s="1482" t="s">
        <v>8</v>
      </c>
      <c r="S22" s="1483">
        <f>F22</f>
        <v>100</v>
      </c>
      <c r="T22" s="1482" t="s">
        <v>8</v>
      </c>
      <c r="U22" s="1483">
        <f>H22</f>
        <v>100</v>
      </c>
      <c r="V22" s="1482" t="s">
        <v>8</v>
      </c>
      <c r="W22" s="1483">
        <f>J22</f>
        <v>100</v>
      </c>
      <c r="X22" s="1476"/>
      <c r="Y22" s="3662"/>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62"/>
      <c r="Q23" s="1481">
        <f>B23</f>
        <v>111</v>
      </c>
      <c r="R23" s="1482" t="s">
        <v>8</v>
      </c>
      <c r="S23" s="1483">
        <f>F23</f>
        <v>100</v>
      </c>
      <c r="T23" s="1482" t="s">
        <v>8</v>
      </c>
      <c r="U23" s="1483">
        <f>H23</f>
        <v>100</v>
      </c>
      <c r="V23" s="1482" t="s">
        <v>8</v>
      </c>
      <c r="W23" s="1483">
        <f>J23</f>
        <v>100</v>
      </c>
      <c r="X23" s="1476"/>
      <c r="Y23" s="3662"/>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62"/>
      <c r="Q24" s="1481">
        <f t="shared" ref="Q24:Q34" si="11">B24</f>
        <v>111</v>
      </c>
      <c r="R24" s="1482" t="s">
        <v>8</v>
      </c>
      <c r="S24" s="1483">
        <f>F24</f>
        <v>100</v>
      </c>
      <c r="T24" s="1482" t="s">
        <v>8</v>
      </c>
      <c r="U24" s="1483">
        <f>H24</f>
        <v>100</v>
      </c>
      <c r="V24" s="1482" t="s">
        <v>8</v>
      </c>
      <c r="W24" s="1483">
        <f>J24</f>
        <v>100</v>
      </c>
      <c r="X24" s="1476"/>
      <c r="Y24" s="3662"/>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62"/>
      <c r="Q25" s="1116">
        <f t="shared" si="11"/>
        <v>111</v>
      </c>
      <c r="R25" s="1477" t="s">
        <v>8</v>
      </c>
      <c r="S25" s="1478">
        <f>F25</f>
        <v>100</v>
      </c>
      <c r="T25" s="1477" t="s">
        <v>8</v>
      </c>
      <c r="U25" s="1478">
        <f>H25</f>
        <v>100</v>
      </c>
      <c r="V25" s="1477" t="s">
        <v>8</v>
      </c>
      <c r="W25" s="1478">
        <f>J25</f>
        <v>100</v>
      </c>
      <c r="X25" s="1479"/>
      <c r="Y25" s="3662"/>
      <c r="Z25" s="1115">
        <f>Q25</f>
        <v>111</v>
      </c>
      <c r="AA25" s="1485">
        <f>D25/F25</f>
        <v>1</v>
      </c>
      <c r="AB25" s="1485">
        <f>D25/H25</f>
        <v>1</v>
      </c>
      <c r="AC25" s="1485">
        <f>D25/J25</f>
        <v>1</v>
      </c>
    </row>
    <row r="26" spans="1:29" ht="15">
      <c r="A26" s="2592" t="s">
        <v>2707</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63"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64"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64"/>
      <c r="Q27" s="1510" t="str">
        <f t="shared" si="11"/>
        <v>成新率</v>
      </c>
      <c r="R27" s="1486" t="s">
        <v>8</v>
      </c>
      <c r="S27" s="1487" t="e">
        <f t="shared" si="12"/>
        <v>#N/A</v>
      </c>
      <c r="T27" s="1486" t="s">
        <v>8</v>
      </c>
      <c r="U27" s="1487" t="e">
        <f t="shared" si="13"/>
        <v>#N/A</v>
      </c>
      <c r="V27" s="1486" t="s">
        <v>8</v>
      </c>
      <c r="W27" s="1487" t="e">
        <f t="shared" si="14"/>
        <v>#N/A</v>
      </c>
      <c r="X27" s="1488"/>
      <c r="Y27" s="3664"/>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64"/>
      <c r="Q28" s="1481" t="str">
        <f t="shared" si="11"/>
        <v>物业等级</v>
      </c>
      <c r="R28" s="1482" t="s">
        <v>8</v>
      </c>
      <c r="S28" s="1483">
        <f t="shared" si="12"/>
        <v>100</v>
      </c>
      <c r="T28" s="1482" t="s">
        <v>8</v>
      </c>
      <c r="U28" s="1483">
        <f t="shared" si="13"/>
        <v>100</v>
      </c>
      <c r="V28" s="1482" t="s">
        <v>8</v>
      </c>
      <c r="W28" s="1483">
        <f t="shared" si="14"/>
        <v>100</v>
      </c>
      <c r="X28" s="1476"/>
      <c r="Y28" s="3664"/>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64"/>
      <c r="Q29" s="1481" t="str">
        <f t="shared" si="11"/>
        <v>有无电梯</v>
      </c>
      <c r="R29" s="1482" t="s">
        <v>8</v>
      </c>
      <c r="S29" s="1483">
        <f t="shared" si="12"/>
        <v>100</v>
      </c>
      <c r="T29" s="1482" t="s">
        <v>8</v>
      </c>
      <c r="U29" s="1483">
        <f t="shared" si="13"/>
        <v>100</v>
      </c>
      <c r="V29" s="1482" t="s">
        <v>8</v>
      </c>
      <c r="W29" s="1483">
        <f t="shared" si="14"/>
        <v>100</v>
      </c>
      <c r="X29" s="1476"/>
      <c r="Y29" s="3664"/>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64"/>
      <c r="Q30" s="1481" t="str">
        <f t="shared" si="11"/>
        <v>建筑面积</v>
      </c>
      <c r="R30" s="1482" t="s">
        <v>8</v>
      </c>
      <c r="S30" s="1483" t="e">
        <f t="shared" si="12"/>
        <v>#N/A</v>
      </c>
      <c r="T30" s="1482" t="s">
        <v>8</v>
      </c>
      <c r="U30" s="1483" t="e">
        <f t="shared" si="13"/>
        <v>#N/A</v>
      </c>
      <c r="V30" s="1482" t="s">
        <v>8</v>
      </c>
      <c r="W30" s="1483" t="e">
        <f t="shared" si="14"/>
        <v>#N/A</v>
      </c>
      <c r="X30" s="1476"/>
      <c r="Y30" s="3664"/>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64"/>
      <c r="Q31" s="1116" t="str">
        <f t="shared" si="11"/>
        <v>是否封闭</v>
      </c>
      <c r="R31" s="1477" t="s">
        <v>8</v>
      </c>
      <c r="S31" s="1478">
        <f t="shared" si="12"/>
        <v>100</v>
      </c>
      <c r="T31" s="1477" t="s">
        <v>8</v>
      </c>
      <c r="U31" s="1478">
        <f t="shared" si="13"/>
        <v>100</v>
      </c>
      <c r="V31" s="1477" t="s">
        <v>8</v>
      </c>
      <c r="W31" s="1478">
        <f t="shared" si="14"/>
        <v>100</v>
      </c>
      <c r="X31" s="1479"/>
      <c r="Y31" s="3664"/>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64" t="s">
        <v>528</v>
      </c>
      <c r="Q32" s="1481">
        <f t="shared" si="11"/>
        <v>111</v>
      </c>
      <c r="R32" s="1482" t="s">
        <v>8</v>
      </c>
      <c r="S32" s="1483">
        <f t="shared" si="12"/>
        <v>100</v>
      </c>
      <c r="T32" s="1482" t="s">
        <v>8</v>
      </c>
      <c r="U32" s="1483">
        <f t="shared" si="13"/>
        <v>100</v>
      </c>
      <c r="V32" s="1482" t="s">
        <v>8</v>
      </c>
      <c r="W32" s="1483">
        <f t="shared" si="14"/>
        <v>100</v>
      </c>
      <c r="X32" s="1476"/>
      <c r="Y32" s="3664"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64"/>
      <c r="Q33" s="1481">
        <f t="shared" si="11"/>
        <v>111</v>
      </c>
      <c r="R33" s="1482" t="s">
        <v>8</v>
      </c>
      <c r="S33" s="1483">
        <f t="shared" si="12"/>
        <v>100</v>
      </c>
      <c r="T33" s="1482" t="s">
        <v>8</v>
      </c>
      <c r="U33" s="1483">
        <f t="shared" si="13"/>
        <v>100</v>
      </c>
      <c r="V33" s="1482" t="s">
        <v>8</v>
      </c>
      <c r="W33" s="1483">
        <f t="shared" si="14"/>
        <v>100</v>
      </c>
      <c r="X33" s="1476"/>
      <c r="Y33" s="3664"/>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64"/>
      <c r="Q34" s="1481">
        <f t="shared" si="11"/>
        <v>111</v>
      </c>
      <c r="R34" s="1482" t="s">
        <v>8</v>
      </c>
      <c r="S34" s="1483">
        <f t="shared" si="12"/>
        <v>100</v>
      </c>
      <c r="T34" s="1482" t="s">
        <v>8</v>
      </c>
      <c r="U34" s="1483">
        <f t="shared" si="13"/>
        <v>100</v>
      </c>
      <c r="V34" s="1482" t="s">
        <v>8</v>
      </c>
      <c r="W34" s="1483">
        <f t="shared" si="14"/>
        <v>100</v>
      </c>
      <c r="X34" s="1476"/>
      <c r="Y34" s="3664"/>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627" t="str">
        <f>A35</f>
        <v>成交单价（元/平方米）</v>
      </c>
      <c r="Q35" s="3627"/>
      <c r="R35" s="3764">
        <f>E35</f>
        <v>0</v>
      </c>
      <c r="S35" s="3764"/>
      <c r="T35" s="3764">
        <f>G35</f>
        <v>0</v>
      </c>
      <c r="U35" s="3764"/>
      <c r="V35" s="3764">
        <f>I35</f>
        <v>0</v>
      </c>
      <c r="W35" s="3764"/>
      <c r="X35" s="1471"/>
      <c r="Y35" s="1490"/>
      <c r="Z35" s="1471"/>
      <c r="AA35" s="1471"/>
      <c r="AB35" s="1471"/>
      <c r="AC35" s="1471"/>
    </row>
    <row r="36" spans="1:29" ht="15.75" thickBot="1">
      <c r="A36" s="591" t="s">
        <v>2712</v>
      </c>
      <c r="B36" s="859"/>
      <c r="C36" s="2444" t="e">
        <f>R37</f>
        <v>#DIV/0!</v>
      </c>
      <c r="D36" s="2980" t="s">
        <v>2937</v>
      </c>
      <c r="E36" s="2445" t="e">
        <f>R36</f>
        <v>#DIV/0!</v>
      </c>
      <c r="F36" s="2981"/>
      <c r="G36" s="2444" t="e">
        <f>T36</f>
        <v>#DIV/0!</v>
      </c>
      <c r="H36" s="2981"/>
      <c r="I36" s="2445" t="e">
        <f>V36</f>
        <v>#DIV/0!</v>
      </c>
      <c r="J36" s="2981"/>
      <c r="K36" s="2989">
        <f>F36+H36+J36</f>
        <v>0</v>
      </c>
      <c r="L36" s="1997"/>
      <c r="M36" s="1998"/>
      <c r="N36" s="1987"/>
      <c r="O36" s="1998"/>
      <c r="P36" s="3627" t="str">
        <f>A36</f>
        <v>比较价格（元/平方米）</v>
      </c>
      <c r="Q36" s="3627"/>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1471"/>
      <c r="Y36" s="1471"/>
      <c r="Z36" s="1471"/>
      <c r="AA36" s="1471"/>
      <c r="AB36" s="1471"/>
      <c r="AC36" s="1471"/>
    </row>
    <row r="37" spans="1:29" ht="15.75" thickBot="1">
      <c r="A37" s="595" t="s">
        <v>2872</v>
      </c>
      <c r="B37" s="596"/>
      <c r="C37" s="2446" t="e">
        <f>R37</f>
        <v>#DIV/0!</v>
      </c>
      <c r="D37" s="2446"/>
      <c r="E37" s="2446"/>
      <c r="F37" s="2446"/>
      <c r="G37" s="2446"/>
      <c r="H37" s="2446"/>
      <c r="I37" s="2446"/>
      <c r="J37" s="2446"/>
      <c r="K37" s="1516"/>
      <c r="L37" s="1997"/>
      <c r="M37" s="1998"/>
      <c r="N37" s="1998"/>
      <c r="O37" s="1998"/>
      <c r="P37" s="3624" t="str">
        <f>A37</f>
        <v>估价对象XX用房的比较价格（楼面单价，元/平方米）</v>
      </c>
      <c r="Q37" s="3625"/>
      <c r="R37" s="3763" t="e">
        <f>IF(F1="售价",ROUND(IF(D36="简单平均",AVERAGE(R36:W36),R36*F36+T36*H36+V36*J36),0),ROUND(IF(D36="简单平均",AVERAGE(R36:V36),R36*F36+T36*H36+V36*J36),1))</f>
        <v>#DIV/0!</v>
      </c>
      <c r="S37" s="3763"/>
      <c r="T37" s="3763"/>
      <c r="U37" s="3763"/>
      <c r="V37" s="3763"/>
      <c r="W37" s="3763"/>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2022-3</v>
      </c>
      <c r="D46" s="2489">
        <f>EDATE(C46,-1)</f>
        <v>44593</v>
      </c>
      <c r="E46" s="2489">
        <f t="shared" ref="E46:O46" si="16">EDATE(D46,-1)</f>
        <v>44562</v>
      </c>
      <c r="F46" s="2489">
        <f t="shared" si="16"/>
        <v>44531</v>
      </c>
      <c r="G46" s="2489">
        <f t="shared" si="16"/>
        <v>44501</v>
      </c>
      <c r="H46" s="2489">
        <f t="shared" si="16"/>
        <v>44470</v>
      </c>
      <c r="I46" s="2489">
        <f t="shared" si="16"/>
        <v>44440</v>
      </c>
      <c r="J46" s="2489">
        <f t="shared" si="16"/>
        <v>44409</v>
      </c>
      <c r="K46" s="2489">
        <f t="shared" si="16"/>
        <v>44378</v>
      </c>
      <c r="L46" s="2489">
        <f t="shared" si="16"/>
        <v>44348</v>
      </c>
      <c r="M46" s="2489">
        <f t="shared" si="16"/>
        <v>44317</v>
      </c>
      <c r="N46" s="2489">
        <f t="shared" si="16"/>
        <v>44287</v>
      </c>
      <c r="O46" s="2489">
        <f t="shared" si="16"/>
        <v>44256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2510</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2511</v>
      </c>
      <c r="C65" s="2410" t="s">
        <v>2512</v>
      </c>
      <c r="D65" s="2410" t="s">
        <v>2513</v>
      </c>
      <c r="E65" s="2410" t="s">
        <v>2514</v>
      </c>
      <c r="F65" s="2410" t="s">
        <v>2515</v>
      </c>
      <c r="G65" s="2410" t="s">
        <v>2516</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2267</v>
      </c>
      <c r="C1" s="3773" t="s">
        <v>2268</v>
      </c>
      <c r="D1" s="3774"/>
      <c r="E1" s="3774"/>
      <c r="F1" s="3774"/>
      <c r="G1" s="3774"/>
      <c r="H1" s="3774"/>
      <c r="I1" s="3774"/>
      <c r="J1" s="3774"/>
      <c r="K1" s="3774"/>
      <c r="L1" s="3774"/>
      <c r="M1" s="3774"/>
      <c r="N1" s="3774"/>
      <c r="O1" s="3774"/>
      <c r="P1" s="3774"/>
      <c r="Q1" s="3774"/>
      <c r="R1" s="3774"/>
      <c r="S1" s="3775"/>
      <c r="T1" s="2085" t="s">
        <v>2269</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2270</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2865</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2864</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2863</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2876</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2862</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2861</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2271</v>
      </c>
      <c r="B17" s="2129" t="s">
        <v>2272</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770" t="s">
        <v>20</v>
      </c>
      <c r="D22" s="3771"/>
      <c r="E22" s="3771"/>
      <c r="F22" s="3771"/>
      <c r="G22" s="3771"/>
      <c r="H22" s="3771"/>
      <c r="I22" s="3771"/>
      <c r="J22" s="3771"/>
      <c r="K22" s="3771"/>
      <c r="L22" s="3771"/>
      <c r="M22" s="3771"/>
      <c r="N22" s="3771"/>
      <c r="O22" s="3771"/>
      <c r="P22" s="3771"/>
      <c r="Q22" s="3772"/>
      <c r="R22" s="474" t="e">
        <f>ROUND(S22*10000/B22,0)</f>
        <v>#DIV/0!</v>
      </c>
      <c r="S22" s="53">
        <f>SUM(S24:S10000)</f>
        <v>0</v>
      </c>
    </row>
    <row r="23" spans="1:45" s="1517" customFormat="1" ht="24">
      <c r="A23" s="17" t="s">
        <v>808</v>
      </c>
      <c r="B23" s="2827"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2739</v>
      </c>
      <c r="C1" s="2689">
        <f>项目基本情况!D3</f>
        <v>44622</v>
      </c>
      <c r="H1" s="2623">
        <f>IF(C1&gt;C13,0,MATCH(C1,C$13:C$100,-1))+IF(SUMIF(C13:C100,C1,D13:D100)=0,13,12)</f>
        <v>13</v>
      </c>
      <c r="I1" s="2623">
        <f ca="1">MATCH(C2,H3:H7,1)+IF(SUMIF(H3:H7,C2,I3:I7)=0,2,1)</f>
        <v>2</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2770</v>
      </c>
      <c r="C2" s="2690">
        <f>'数据-取费表'!B22</f>
        <v>0</v>
      </c>
      <c r="D2" s="2685" t="s">
        <v>2740</v>
      </c>
      <c r="E2" s="2688" t="e">
        <f ca="1">INDIRECT("I"&amp;$I$1)/100</f>
        <v>#VALUE!</v>
      </c>
      <c r="G2" s="2625"/>
      <c r="H2" s="2625"/>
      <c r="I2" s="2625" t="s">
        <v>2741</v>
      </c>
      <c r="K2" s="2625"/>
      <c r="L2" s="2625"/>
      <c r="M2" s="2625"/>
      <c r="N2" s="2625" t="s">
        <v>2742</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2772</v>
      </c>
      <c r="C3" s="2687">
        <f>'数据-取费表'!B19</f>
        <v>0</v>
      </c>
      <c r="D3" s="2685" t="s">
        <v>2740</v>
      </c>
      <c r="E3" s="2688">
        <f ca="1">INDIRECT("J"&amp;$J$1)/100</f>
        <v>0</v>
      </c>
      <c r="G3" s="2627" t="s">
        <v>2743</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2771</v>
      </c>
      <c r="C4" s="2688">
        <f ca="1">N4/100</f>
        <v>1.4999999999999999E-2</v>
      </c>
      <c r="G4" s="2633" t="s">
        <v>2744</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2745</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2746</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2747</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2748</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2749</v>
      </c>
      <c r="C10" s="2652"/>
      <c r="D10" s="2652"/>
      <c r="E10" s="2652"/>
      <c r="F10" s="2652"/>
      <c r="G10" s="2652"/>
      <c r="H10" s="2652"/>
      <c r="I10" s="2626"/>
      <c r="J10" s="2626"/>
      <c r="K10" s="2652"/>
      <c r="L10" s="2653" t="s">
        <v>2750</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2751</v>
      </c>
      <c r="C11" s="2657" t="s">
        <v>2752</v>
      </c>
      <c r="D11" s="2658" t="s">
        <v>2753</v>
      </c>
      <c r="E11" s="2659"/>
      <c r="F11" s="2658" t="s">
        <v>2754</v>
      </c>
      <c r="G11" s="2660"/>
      <c r="H11" s="2659"/>
      <c r="I11" s="2658" t="s">
        <v>2755</v>
      </c>
      <c r="J11" s="2659"/>
      <c r="K11" s="2655"/>
      <c r="L11" s="2656" t="s">
        <v>2751</v>
      </c>
      <c r="M11" s="2657" t="s">
        <v>2752</v>
      </c>
      <c r="N11" s="2656" t="s">
        <v>2756</v>
      </c>
      <c r="O11" s="2658" t="s">
        <v>2757</v>
      </c>
      <c r="P11" s="2660"/>
      <c r="Q11" s="2660"/>
      <c r="R11" s="2660"/>
      <c r="S11" s="2660"/>
      <c r="T11" s="2659"/>
      <c r="U11" s="2658" t="s">
        <v>2758</v>
      </c>
      <c r="V11" s="2660"/>
      <c r="W11" s="2659"/>
      <c r="X11" s="2656" t="s">
        <v>2759</v>
      </c>
      <c r="Y11" s="2656" t="s">
        <v>2760</v>
      </c>
      <c r="Z11" s="2656" t="s">
        <v>2761</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2762</v>
      </c>
      <c r="E12" s="2665" t="s">
        <v>2763</v>
      </c>
      <c r="F12" s="2665" t="s">
        <v>2764</v>
      </c>
      <c r="G12" s="2665" t="s">
        <v>2765</v>
      </c>
      <c r="H12" s="2665" t="s">
        <v>2747</v>
      </c>
      <c r="I12" s="2666" t="s">
        <v>2766</v>
      </c>
      <c r="J12" s="2666" t="s">
        <v>2766</v>
      </c>
      <c r="K12" s="2662"/>
      <c r="L12" s="2663"/>
      <c r="M12" s="2664"/>
      <c r="N12" s="2663"/>
      <c r="O12" s="2666" t="s">
        <v>2767</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2768</v>
      </c>
      <c r="C13" s="2670">
        <v>42301</v>
      </c>
      <c r="D13" s="2671">
        <v>4.3499999999999996</v>
      </c>
      <c r="E13" s="2671">
        <v>4.3499999999999996</v>
      </c>
      <c r="F13" s="2671">
        <v>4.75</v>
      </c>
      <c r="G13" s="2671">
        <v>4.75</v>
      </c>
      <c r="H13" s="2671">
        <v>4.9000000000000004</v>
      </c>
      <c r="I13" s="2671">
        <v>2.75</v>
      </c>
      <c r="J13" s="2671">
        <v>3.25</v>
      </c>
      <c r="K13" s="2668"/>
      <c r="L13" s="2669" t="s">
        <v>2768</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2769</v>
      </c>
      <c r="Y42" s="2675" t="s">
        <v>2769</v>
      </c>
      <c r="Z42" s="2675" t="s">
        <v>2769</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2769</v>
      </c>
      <c r="Y43" s="2675" t="s">
        <v>2769</v>
      </c>
      <c r="Z43" s="2675" t="s">
        <v>2769</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2769</v>
      </c>
      <c r="Y44" s="2675" t="s">
        <v>2769</v>
      </c>
      <c r="Z44" s="2675" t="s">
        <v>2769</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2769</v>
      </c>
      <c r="Y45" s="2675" t="s">
        <v>2769</v>
      </c>
      <c r="Z45" s="2675" t="s">
        <v>2769</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2769</v>
      </c>
      <c r="Y46" s="2675" t="s">
        <v>2769</v>
      </c>
      <c r="Z46" s="2675" t="s">
        <v>2769</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2769</v>
      </c>
      <c r="Y47" s="2675" t="s">
        <v>2769</v>
      </c>
      <c r="Z47" s="2675" t="s">
        <v>2769</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2769</v>
      </c>
      <c r="Y48" s="2675" t="s">
        <v>2769</v>
      </c>
      <c r="Z48" s="2675" t="s">
        <v>2769</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2769</v>
      </c>
      <c r="Y49" s="2675" t="s">
        <v>2769</v>
      </c>
      <c r="Z49" s="2675" t="s">
        <v>2769</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2769</v>
      </c>
      <c r="Y50" s="2675" t="s">
        <v>2769</v>
      </c>
      <c r="Z50" s="2675" t="s">
        <v>2769</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2769</v>
      </c>
      <c r="V51" s="2675" t="s">
        <v>2769</v>
      </c>
      <c r="W51" s="2675" t="s">
        <v>2769</v>
      </c>
      <c r="X51" s="2675" t="s">
        <v>2769</v>
      </c>
      <c r="Y51" s="2675" t="s">
        <v>2769</v>
      </c>
      <c r="Z51" s="2675" t="s">
        <v>2769</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2769</v>
      </c>
      <c r="J55" s="2675" t="s">
        <v>2769</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8" t="s">
        <v>2004</v>
      </c>
      <c r="B1" s="3448"/>
      <c r="C1" s="3448"/>
      <c r="D1" s="3448"/>
      <c r="E1" s="3448"/>
      <c r="F1" s="3448"/>
      <c r="G1" s="3448"/>
      <c r="H1" s="3448"/>
      <c r="I1" s="3448"/>
      <c r="J1" s="3448"/>
      <c r="K1" s="3448"/>
      <c r="L1" s="3448"/>
      <c r="M1" s="3448"/>
      <c r="N1" s="3448"/>
      <c r="O1" s="3448"/>
      <c r="P1" s="3448"/>
      <c r="Q1" s="3448"/>
      <c r="R1" s="3448"/>
    </row>
    <row r="2" spans="1:18">
      <c r="A2" s="1695" t="s">
        <v>2006</v>
      </c>
      <c r="B2" s="1695"/>
      <c r="C2" s="1695"/>
      <c r="D2" s="1695"/>
      <c r="E2" s="1695"/>
      <c r="F2" s="1695"/>
      <c r="G2" s="1695"/>
      <c r="H2" s="1695"/>
      <c r="I2" s="1696"/>
      <c r="J2" s="1696"/>
      <c r="K2" s="1697" t="str">
        <f>"估价期日："&amp;TEXT(项目基本情况!D3,"yyyy年m月d日;;")</f>
        <v>估价期日：2022年3月2日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49" t="s">
        <v>1995</v>
      </c>
      <c r="B3" s="3449" t="s">
        <v>2683</v>
      </c>
      <c r="C3" s="3450" t="s">
        <v>1996</v>
      </c>
      <c r="D3" s="3449" t="s">
        <v>2687</v>
      </c>
      <c r="E3" s="3452" t="s">
        <v>1997</v>
      </c>
      <c r="F3" s="3452"/>
      <c r="G3" s="3452"/>
      <c r="H3" s="3452" t="s">
        <v>1998</v>
      </c>
      <c r="I3" s="3452"/>
      <c r="J3" s="3452"/>
      <c r="K3" s="3450" t="s">
        <v>1999</v>
      </c>
      <c r="L3" s="3450" t="s">
        <v>2000</v>
      </c>
      <c r="M3" s="3449" t="s">
        <v>2684</v>
      </c>
      <c r="N3" s="3451" t="str">
        <f>"（分摊）"&amp;项目基本情况!B16&amp;"国有建设用地使用权面积/㎡"</f>
        <v>（分摊）出让国有建设用地使用权面积/㎡</v>
      </c>
      <c r="O3" s="3449" t="s">
        <v>2029</v>
      </c>
      <c r="P3" s="3450" t="s">
        <v>2009</v>
      </c>
      <c r="Q3" s="3450" t="s">
        <v>2030</v>
      </c>
      <c r="R3" s="3450" t="s">
        <v>2001</v>
      </c>
    </row>
    <row r="4" spans="1:18" ht="36.75" customHeight="1">
      <c r="A4" s="3449"/>
      <c r="B4" s="3449"/>
      <c r="C4" s="3450"/>
      <c r="D4" s="3449"/>
      <c r="E4" s="2459" t="s">
        <v>2008</v>
      </c>
      <c r="F4" s="2459" t="s">
        <v>2696</v>
      </c>
      <c r="G4" s="2459" t="s">
        <v>2002</v>
      </c>
      <c r="H4" s="2459" t="s">
        <v>2003</v>
      </c>
      <c r="I4" s="2459" t="s">
        <v>2697</v>
      </c>
      <c r="J4" s="2459" t="s">
        <v>2002</v>
      </c>
      <c r="K4" s="3450"/>
      <c r="L4" s="3450"/>
      <c r="M4" s="3449"/>
      <c r="N4" s="3451"/>
      <c r="O4" s="3449"/>
      <c r="P4" s="3450"/>
      <c r="Q4" s="3450"/>
      <c r="R4" s="3450"/>
    </row>
    <row r="5" spans="1:18" ht="135" customHeight="1">
      <c r="A5" s="1830" t="s">
        <v>2607</v>
      </c>
      <c r="B5" s="2552" t="s">
        <v>2605</v>
      </c>
      <c r="C5" s="2458">
        <v>22</v>
      </c>
      <c r="D5" s="2457" t="s">
        <v>2606</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t="e">
        <f>项目基本情况!C22</f>
        <v>#DIV/0!</v>
      </c>
      <c r="O5" s="1698">
        <f>项目基本情况!C21</f>
        <v>0</v>
      </c>
      <c r="P5" s="1698" t="e">
        <f ca="1">结果表!E42</f>
        <v>#REF!</v>
      </c>
      <c r="Q5" s="1698" t="e">
        <f ca="1">结果表!D42</f>
        <v>#REF!</v>
      </c>
      <c r="R5" s="1699" t="e">
        <f ca="1">结果表!C42</f>
        <v>#REF!</v>
      </c>
    </row>
    <row r="6" spans="1:18">
      <c r="A6" s="3453" t="str">
        <f>IF(项目基本情况!B9="市场价格","——","抵押价格")</f>
        <v>抵押价格</v>
      </c>
      <c r="B6" s="3454"/>
      <c r="C6" s="3454"/>
      <c r="D6" s="3454"/>
      <c r="E6" s="3454"/>
      <c r="F6" s="3454"/>
      <c r="G6" s="3454"/>
      <c r="H6" s="3454"/>
      <c r="I6" s="3454"/>
      <c r="J6" s="3454"/>
      <c r="K6" s="3454"/>
      <c r="L6" s="3454"/>
      <c r="M6" s="3454"/>
      <c r="N6" s="3454"/>
      <c r="O6" s="3454"/>
      <c r="P6" s="3454"/>
      <c r="Q6" s="3455"/>
      <c r="R6" s="1700" t="str">
        <f>结果表!O39</f>
        <v>——</v>
      </c>
    </row>
    <row r="7" spans="1:18">
      <c r="A7" s="3453" t="str">
        <f>IF(项目基本情况!B9="市场价格","——",IF(项目基本情况!E8="已注销及未注销","抵押担保权已注销时的抵押价格","——"))</f>
        <v>——</v>
      </c>
      <c r="B7" s="3454"/>
      <c r="C7" s="3454"/>
      <c r="D7" s="3454"/>
      <c r="E7" s="3454"/>
      <c r="F7" s="3454"/>
      <c r="G7" s="3454"/>
      <c r="H7" s="3454"/>
      <c r="I7" s="3454"/>
      <c r="J7" s="3454"/>
      <c r="K7" s="3454"/>
      <c r="L7" s="3454"/>
      <c r="M7" s="3454"/>
      <c r="N7" s="3454"/>
      <c r="O7" s="3454"/>
      <c r="P7" s="3454"/>
      <c r="Q7" s="3455"/>
      <c r="R7" s="1700" t="str">
        <f>结果表!O40</f>
        <v>——</v>
      </c>
    </row>
    <row r="8" spans="1:18">
      <c r="A8" s="3453">
        <f>IF(项目基本情况!B9="市场价格","——",项目基本情况!E9)</f>
        <v>0</v>
      </c>
      <c r="B8" s="3454"/>
      <c r="C8" s="3454"/>
      <c r="D8" s="3454"/>
      <c r="E8" s="3454"/>
      <c r="F8" s="3454"/>
      <c r="G8" s="3454"/>
      <c r="H8" s="3454"/>
      <c r="I8" s="3454"/>
      <c r="J8" s="3454"/>
      <c r="K8" s="3454"/>
      <c r="L8" s="3454"/>
      <c r="M8" s="3454"/>
      <c r="N8" s="3454"/>
      <c r="O8" s="3454"/>
      <c r="P8" s="3454"/>
      <c r="Q8" s="3455"/>
      <c r="R8" s="1700" t="str">
        <f>结果表!O41</f>
        <v>——</v>
      </c>
    </row>
    <row r="9" spans="1:18">
      <c r="A9" s="1701" t="s">
        <v>2007</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1994</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57" t="s">
        <v>2031</v>
      </c>
      <c r="B1" s="3457"/>
      <c r="C1" s="3457"/>
      <c r="D1" s="3457"/>
    </row>
    <row r="2" spans="1:4" ht="47.25" customHeight="1">
      <c r="A2" s="3458" t="str">
        <f>"1.权利限制："&amp;项目基本情况!L24&amp;"未设定租赁等其他他项权利。"</f>
        <v>1.权利限制：根据估价对象《不动产权证书》原件、《国有土地使用权》复印件，截至估价期日，估价对象抵押权未见登记。未设定租赁等其他他项权利。</v>
      </c>
      <c r="B2" s="3458"/>
      <c r="C2" s="3458"/>
      <c r="D2" s="3458"/>
    </row>
    <row r="3" spans="1:4" ht="48" customHeight="1">
      <c r="A3" s="34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7"/>
      <c r="C3" s="3457"/>
      <c r="D3" s="3457"/>
    </row>
    <row r="4" spans="1:4" ht="36.75" customHeight="1">
      <c r="A4" s="3457" t="str">
        <f>"3.估价规划限制条件：详见"&amp;项目基本情况!E21&amp;"。"</f>
        <v>3.估价规划限制条件：详见《建设工程规划许可证》[]、《出让合同》[]。</v>
      </c>
      <c r="B4" s="3457"/>
      <c r="C4" s="3457"/>
      <c r="D4" s="3457"/>
    </row>
    <row r="5" spans="1:4">
      <c r="A5" s="3456" t="s">
        <v>2032</v>
      </c>
      <c r="B5" s="3456"/>
      <c r="C5" s="3456"/>
      <c r="D5" s="3456"/>
    </row>
    <row r="6" spans="1:4">
      <c r="A6" s="3457" t="s">
        <v>2010</v>
      </c>
      <c r="B6" s="3457"/>
      <c r="C6" s="3457"/>
      <c r="D6" s="3457"/>
    </row>
    <row r="7" spans="1:4" ht="33" customHeight="1">
      <c r="A7" s="3457" t="s">
        <v>2527</v>
      </c>
      <c r="B7" s="3457"/>
      <c r="C7" s="3457"/>
      <c r="D7" s="3457"/>
    </row>
    <row r="8" spans="1:4" ht="32.25" customHeight="1">
      <c r="A8" s="34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57"/>
      <c r="C8" s="3457"/>
      <c r="D8" s="3457"/>
    </row>
    <row r="9" spans="1:4" ht="33.75" customHeight="1">
      <c r="A9" s="3457" t="str">
        <f>IF(项目基本情况!B8="抵押","3.抵押双方在办理抵押登记手续时，应使用本公司出具的正式《土地估价报告》，特提请报告使用者注意。","——")</f>
        <v>——</v>
      </c>
      <c r="B9" s="3457"/>
      <c r="C9" s="3457"/>
      <c r="D9" s="3457"/>
    </row>
    <row r="10" spans="1:4">
      <c r="A10" s="3457" t="str">
        <f>IF(项目基本情况!B8="抵押","4.估价师所知悉的法定优先受偿款情况为：","——")</f>
        <v>——</v>
      </c>
      <c r="B10" s="3457"/>
      <c r="C10" s="3457"/>
      <c r="D10" s="3457"/>
    </row>
    <row r="11" spans="1:4" ht="37.5" customHeight="1">
      <c r="A11" s="3459" t="str">
        <f>IF(项目基本情况!B8="抵押","（1）"&amp;CONCATENATE(项目基本情况!L24,项目基本情况!L25,项目基本情况!L26),"——")</f>
        <v>——</v>
      </c>
      <c r="B11" s="3459"/>
      <c r="C11" s="3459"/>
      <c r="D11" s="3459"/>
    </row>
    <row r="12" spans="1:4" ht="168" customHeight="1">
      <c r="A12" s="3456" t="s">
        <v>2034</v>
      </c>
      <c r="B12" s="3456"/>
      <c r="C12" s="3456"/>
      <c r="D12" s="3456"/>
    </row>
    <row r="13" spans="1:4">
      <c r="A13" s="3460" t="s">
        <v>2698</v>
      </c>
      <c r="B13" s="3460"/>
      <c r="C13" s="3460"/>
      <c r="D13" s="3460"/>
    </row>
    <row r="14" spans="1:4">
      <c r="A14" s="3459" t="str">
        <f>IF(项目基本情况!B8="抵押","综上，"&amp;结果表!K47,"——")</f>
        <v>——</v>
      </c>
      <c r="B14" s="3459"/>
      <c r="C14" s="3459"/>
      <c r="D14" s="3459"/>
    </row>
    <row r="15" spans="1:4" ht="58.5" customHeight="1">
      <c r="A15" s="34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7"/>
      <c r="C15" s="3457"/>
      <c r="D15" s="3457"/>
    </row>
    <row r="16" spans="1:4" ht="70.5" customHeight="1">
      <c r="A16" s="34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7"/>
      <c r="C16" s="3457"/>
      <c r="D16" s="3457"/>
    </row>
    <row r="17" spans="1:4">
      <c r="A17" s="3457" t="s">
        <v>2654</v>
      </c>
      <c r="B17" s="3457"/>
      <c r="C17" s="3457"/>
      <c r="D17" s="3457"/>
    </row>
    <row r="18" spans="1:4">
      <c r="A18" s="3457" t="s">
        <v>2646</v>
      </c>
      <c r="B18" s="3457"/>
      <c r="C18" s="3457"/>
      <c r="D18" s="3457"/>
    </row>
    <row r="19" spans="1:4">
      <c r="A19" s="2553" t="s">
        <v>2647</v>
      </c>
      <c r="B19" s="2553" t="s">
        <v>2648</v>
      </c>
      <c r="C19" s="2553" t="s">
        <v>2649</v>
      </c>
      <c r="D19" s="2553" t="s">
        <v>2650</v>
      </c>
    </row>
    <row r="20" spans="1:4">
      <c r="A20" s="2553" t="str">
        <f>项目基本情况!B4</f>
        <v>土地估价师</v>
      </c>
      <c r="B20" s="2553">
        <f>项目基本情况!C4</f>
        <v>0</v>
      </c>
      <c r="C20" s="2555"/>
      <c r="D20" s="1688" t="s">
        <v>2655</v>
      </c>
    </row>
    <row r="21" spans="1:4">
      <c r="A21" s="2553" t="str">
        <f>项目基本情况!D4</f>
        <v>土地估价师</v>
      </c>
      <c r="B21" s="2553">
        <f>项目基本情况!E4</f>
        <v>0</v>
      </c>
      <c r="C21" s="2555"/>
      <c r="D21" s="1688" t="s">
        <v>2656</v>
      </c>
    </row>
    <row r="23" spans="1:4">
      <c r="A23" s="3457" t="s">
        <v>2651</v>
      </c>
      <c r="B23" s="3457"/>
      <c r="C23" s="3457"/>
      <c r="D23" s="3457"/>
    </row>
    <row r="24" spans="1:4">
      <c r="A24" s="2553" t="s">
        <v>2647</v>
      </c>
      <c r="B24" s="2553" t="s">
        <v>2652</v>
      </c>
      <c r="C24" s="2553" t="s">
        <v>2649</v>
      </c>
      <c r="D24" s="2553" t="s">
        <v>2650</v>
      </c>
    </row>
    <row r="25" spans="1:4">
      <c r="A25" s="2556" t="s">
        <v>2653</v>
      </c>
      <c r="B25" s="2553" t="s">
        <v>927</v>
      </c>
      <c r="C25" s="2555"/>
      <c r="D25" s="1688" t="s">
        <v>2656</v>
      </c>
    </row>
    <row r="29" spans="1:4">
      <c r="D29" s="2554" t="s">
        <v>2005</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468" t="s">
        <v>53</v>
      </c>
      <c r="B15" s="3469" t="s">
        <v>822</v>
      </c>
      <c r="C15" s="3465"/>
    </row>
    <row r="16" spans="1:7" ht="14.25">
      <c r="A16" s="3468"/>
      <c r="B16" s="3466" t="s">
        <v>54</v>
      </c>
      <c r="C16" s="1137" t="s">
        <v>53</v>
      </c>
    </row>
    <row r="17" spans="1:3" ht="14.25">
      <c r="A17" s="3468"/>
      <c r="B17" s="3466"/>
      <c r="C17" s="1137" t="s">
        <v>55</v>
      </c>
    </row>
    <row r="18" spans="1:3" ht="14.25">
      <c r="A18" s="3468"/>
      <c r="B18" s="3466"/>
      <c r="C18" s="1137" t="s">
        <v>56</v>
      </c>
    </row>
    <row r="19" spans="1:3" ht="14.25">
      <c r="A19" s="3468"/>
      <c r="B19" s="3464" t="s">
        <v>57</v>
      </c>
      <c r="C19" s="3465"/>
    </row>
    <row r="20" spans="1:3" ht="14.25">
      <c r="A20" s="1138" t="s">
        <v>58</v>
      </c>
      <c r="B20" s="1139"/>
      <c r="C20" s="1140"/>
    </row>
    <row r="21" spans="1:3" ht="14.25">
      <c r="A21" s="3467" t="s">
        <v>59</v>
      </c>
      <c r="B21" s="3464" t="s">
        <v>60</v>
      </c>
      <c r="C21" s="3465"/>
    </row>
    <row r="22" spans="1:3" ht="14.25">
      <c r="A22" s="3467"/>
      <c r="B22" s="3464" t="s">
        <v>61</v>
      </c>
      <c r="C22" s="3465"/>
    </row>
    <row r="23" spans="1:3" ht="14.25">
      <c r="A23" s="3467"/>
      <c r="B23" s="3464" t="s">
        <v>62</v>
      </c>
      <c r="C23" s="3465"/>
    </row>
    <row r="24" spans="1:3" ht="14.25">
      <c r="A24" s="3467"/>
      <c r="B24" s="3470" t="s">
        <v>63</v>
      </c>
      <c r="C24" s="1141" t="s">
        <v>813</v>
      </c>
    </row>
    <row r="25" spans="1:3" ht="14.25">
      <c r="A25" s="3467"/>
      <c r="B25" s="3471"/>
      <c r="C25" s="1141" t="s">
        <v>814</v>
      </c>
    </row>
    <row r="26" spans="1:3" ht="14.25">
      <c r="A26" s="3467"/>
      <c r="B26" s="3471"/>
      <c r="C26" s="1141" t="s">
        <v>815</v>
      </c>
    </row>
    <row r="27" spans="1:3" ht="14.25">
      <c r="A27" s="3467"/>
      <c r="B27" s="3471"/>
      <c r="C27" s="1141" t="s">
        <v>816</v>
      </c>
    </row>
    <row r="28" spans="1:3" ht="14.25">
      <c r="A28" s="3467"/>
      <c r="B28" s="3471"/>
      <c r="C28" s="1141" t="s">
        <v>817</v>
      </c>
    </row>
    <row r="29" spans="1:3" ht="14.25">
      <c r="A29" s="3467"/>
      <c r="B29" s="3471"/>
      <c r="C29" s="1141" t="s">
        <v>818</v>
      </c>
    </row>
    <row r="30" spans="1:3" ht="14.25">
      <c r="A30" s="3467"/>
      <c r="B30" s="3471"/>
      <c r="C30" s="1141" t="s">
        <v>819</v>
      </c>
    </row>
    <row r="31" spans="1:3" ht="14.25">
      <c r="A31" s="3467"/>
      <c r="B31" s="3471"/>
      <c r="C31" s="1141" t="s">
        <v>820</v>
      </c>
    </row>
    <row r="32" spans="1:3" ht="14.25">
      <c r="A32" s="3467"/>
      <c r="B32" s="3471"/>
      <c r="C32" s="1141" t="s">
        <v>1620</v>
      </c>
    </row>
    <row r="33" spans="1:3" ht="14.25">
      <c r="A33" s="3467"/>
      <c r="B33" s="3461" t="s">
        <v>1626</v>
      </c>
      <c r="C33" s="1141" t="s">
        <v>1621</v>
      </c>
    </row>
    <row r="34" spans="1:3" ht="14.25">
      <c r="A34" s="3467"/>
      <c r="B34" s="3462"/>
      <c r="C34" s="1146" t="s">
        <v>1622</v>
      </c>
    </row>
    <row r="35" spans="1:3" ht="14.25">
      <c r="A35" s="3467"/>
      <c r="B35" s="3462"/>
      <c r="C35" s="1147" t="s">
        <v>1623</v>
      </c>
    </row>
    <row r="36" spans="1:3" ht="14.25">
      <c r="A36" s="3467"/>
      <c r="B36" s="3462"/>
      <c r="C36" s="1147" t="s">
        <v>1624</v>
      </c>
    </row>
    <row r="37" spans="1:3" ht="14.25">
      <c r="A37" s="3467"/>
      <c r="B37" s="3463"/>
      <c r="C37" s="1148" t="s">
        <v>1625</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1875</v>
      </c>
      <c r="B2" s="2993">
        <f ca="1">TODAY()</f>
        <v>44648</v>
      </c>
      <c r="C2" s="2994" t="s">
        <v>1876</v>
      </c>
      <c r="D2" s="2994"/>
      <c r="E2" s="2991"/>
      <c r="F2" s="2991"/>
      <c r="G2" s="2991"/>
    </row>
    <row r="3" spans="1:7" ht="20.25" customHeight="1">
      <c r="A3" s="3015" t="s">
        <v>1877</v>
      </c>
      <c r="B3" s="2996" t="s">
        <v>1878</v>
      </c>
      <c r="C3" s="2997" t="s">
        <v>1879</v>
      </c>
      <c r="D3" s="3016" t="s">
        <v>1880</v>
      </c>
      <c r="E3" s="2996" t="s">
        <v>1881</v>
      </c>
      <c r="F3" s="2996" t="s">
        <v>1879</v>
      </c>
      <c r="G3" s="2991"/>
    </row>
    <row r="4" spans="1:7" ht="20.25" customHeight="1">
      <c r="A4" s="2996" t="s">
        <v>1882</v>
      </c>
      <c r="B4" s="2996">
        <f ca="1">IF(C4&lt;B2,"已过期",1119970066)</f>
        <v>1119970066</v>
      </c>
      <c r="C4" s="2999">
        <v>44876</v>
      </c>
      <c r="D4" s="3007" t="s">
        <v>1882</v>
      </c>
      <c r="E4" s="2996">
        <f ca="1">IF(F4&lt;B2,"已过期",96010014)</f>
        <v>96010014</v>
      </c>
      <c r="F4" s="2998">
        <v>47118</v>
      </c>
      <c r="G4" s="2991"/>
    </row>
    <row r="5" spans="1:7" ht="20.25" customHeight="1">
      <c r="A5" s="2996" t="s">
        <v>1883</v>
      </c>
      <c r="B5" s="2996">
        <f ca="1">IF(C5&lt;B2,"已过期",1119970111)</f>
        <v>1119970111</v>
      </c>
      <c r="C5" s="2999">
        <v>44876</v>
      </c>
      <c r="D5" s="3007" t="s">
        <v>1883</v>
      </c>
      <c r="E5" s="2996">
        <f ca="1">IF(F5&lt;B2,"已过期",94010078)</f>
        <v>94010078</v>
      </c>
      <c r="F5" s="2998">
        <v>46387</v>
      </c>
      <c r="G5" s="2991"/>
    </row>
    <row r="6" spans="1:7" ht="20.25" customHeight="1">
      <c r="A6" s="2996" t="s">
        <v>1884</v>
      </c>
      <c r="B6" s="2996" t="str">
        <f ca="1">IF(C6&lt;B2,"已过期",1120050019)</f>
        <v>已过期</v>
      </c>
      <c r="C6" s="2999">
        <v>44395</v>
      </c>
      <c r="D6" s="3007" t="s">
        <v>1884</v>
      </c>
      <c r="E6" s="2996">
        <f ca="1">IF(F6&lt;B2,"已过期",2002110030)</f>
        <v>2002110030</v>
      </c>
      <c r="F6" s="2998">
        <v>46387</v>
      </c>
      <c r="G6" s="2991"/>
    </row>
    <row r="7" spans="1:7" ht="20.25" customHeight="1">
      <c r="A7" s="2996" t="s">
        <v>1885</v>
      </c>
      <c r="B7" s="2996">
        <f ca="1">IF(C7&lt;B2,"已过期",1120000080)</f>
        <v>1120000080</v>
      </c>
      <c r="C7" s="2999">
        <v>44876</v>
      </c>
      <c r="D7" s="3007" t="s">
        <v>1885</v>
      </c>
      <c r="E7" s="2996">
        <f ca="1">IF(F7&lt;B2,"已过期",2000110082)</f>
        <v>2000110082</v>
      </c>
      <c r="F7" s="2998">
        <v>46387</v>
      </c>
      <c r="G7" s="2991"/>
    </row>
    <row r="8" spans="1:7" ht="20.25" customHeight="1">
      <c r="A8" s="2996" t="s">
        <v>1886</v>
      </c>
      <c r="B8" s="2996">
        <f ca="1">IF(C8&lt;B2,"已过期",1419970001)</f>
        <v>1419970001</v>
      </c>
      <c r="C8" s="2999">
        <v>44899</v>
      </c>
      <c r="D8" s="3007" t="s">
        <v>1886</v>
      </c>
      <c r="E8" s="2996">
        <f ca="1">IF(F8&lt;B2,"已过期",2002110125)</f>
        <v>2002110125</v>
      </c>
      <c r="F8" s="2998">
        <v>47118</v>
      </c>
      <c r="G8" s="2991"/>
    </row>
    <row r="9" spans="1:7" ht="20.25" customHeight="1">
      <c r="A9" s="2996" t="s">
        <v>1887</v>
      </c>
      <c r="B9" s="2996" t="str">
        <f ca="1">IF(C9&lt;B2,"已过期",1120060040)</f>
        <v>已过期</v>
      </c>
      <c r="C9" s="2999">
        <v>44554</v>
      </c>
      <c r="D9" s="3007" t="s">
        <v>1887</v>
      </c>
      <c r="E9" s="2996">
        <f ca="1">IF(F9&lt;B2,"已过期",2004110096)</f>
        <v>2004110096</v>
      </c>
      <c r="F9" s="2998">
        <v>47118</v>
      </c>
      <c r="G9" s="2991"/>
    </row>
    <row r="10" spans="1:7" ht="20.25" customHeight="1">
      <c r="A10" s="2996" t="s">
        <v>1888</v>
      </c>
      <c r="B10" s="2996">
        <f ca="1">IF(C10&lt;B2,"已过期",1120100036)</f>
        <v>1120100036</v>
      </c>
      <c r="C10" s="2999">
        <v>44675</v>
      </c>
      <c r="D10" s="3007" t="s">
        <v>1888</v>
      </c>
      <c r="E10" s="2996">
        <f ca="1">IF(F10&lt;B2,"已过期",2010110070)</f>
        <v>2010110070</v>
      </c>
      <c r="F10" s="2998">
        <v>47907</v>
      </c>
      <c r="G10" s="2991"/>
    </row>
    <row r="11" spans="1:7" ht="20.25" customHeight="1">
      <c r="A11" s="2996" t="s">
        <v>1889</v>
      </c>
      <c r="B11" s="2996">
        <f ca="1">IF(C11&lt;B2,"已过期",1120070131)</f>
        <v>1120070131</v>
      </c>
      <c r="C11" s="2999">
        <v>44849</v>
      </c>
      <c r="D11" s="3007" t="s">
        <v>1889</v>
      </c>
      <c r="E11" s="2996">
        <f ca="1">IF(F11&lt;B2,"已过期",2014110011)</f>
        <v>2014110011</v>
      </c>
      <c r="F11" s="2998">
        <v>49302</v>
      </c>
      <c r="G11" s="2991"/>
    </row>
    <row r="12" spans="1:7" ht="20.25" customHeight="1">
      <c r="A12" s="2996" t="s">
        <v>2913</v>
      </c>
      <c r="B12" s="2996">
        <f ca="1">IF(C12&lt;B2,"已过期",1120040230)</f>
        <v>1120040230</v>
      </c>
      <c r="C12" s="2999">
        <v>44864</v>
      </c>
      <c r="D12" s="3007" t="s">
        <v>2914</v>
      </c>
      <c r="E12" s="2996">
        <f ca="1">IF(F12&lt;B2,"已过期",98030020)</f>
        <v>98030020</v>
      </c>
      <c r="F12" s="2998">
        <v>47118</v>
      </c>
      <c r="G12" s="2991"/>
    </row>
    <row r="13" spans="1:7" ht="20.25" customHeight="1">
      <c r="A13" s="2996"/>
      <c r="B13" s="2996"/>
      <c r="C13" s="2999"/>
      <c r="D13" s="3007" t="s">
        <v>1890</v>
      </c>
      <c r="E13" s="2996">
        <f ca="1">IF(F13&lt;B2,"已过期",2011110090)</f>
        <v>2011110090</v>
      </c>
      <c r="F13" s="2998">
        <v>48302</v>
      </c>
      <c r="G13" s="2991"/>
    </row>
    <row r="14" spans="1:7" ht="20.25" customHeight="1">
      <c r="A14" s="2996" t="s">
        <v>1891</v>
      </c>
      <c r="B14" s="2996" t="str">
        <f ca="1">IF(C14&lt;B2,"已过期",1120020033)</f>
        <v>已过期</v>
      </c>
      <c r="C14" s="2999">
        <v>44339</v>
      </c>
      <c r="D14" s="3007" t="s">
        <v>1891</v>
      </c>
      <c r="E14" s="2996">
        <f ca="1">IF(F14&lt;B2,"已过期",2000110137)</f>
        <v>2000110137</v>
      </c>
      <c r="F14" s="2998">
        <v>46387</v>
      </c>
      <c r="G14" s="2991"/>
    </row>
    <row r="15" spans="1:7" ht="20.25" customHeight="1">
      <c r="A15" s="2996" t="s">
        <v>2925</v>
      </c>
      <c r="B15" s="2996" t="str">
        <f ca="1">IF(C14&lt;B2,"已过期",1119980106)</f>
        <v>已过期</v>
      </c>
      <c r="C15" s="2999">
        <v>44969</v>
      </c>
      <c r="D15" s="3007"/>
      <c r="E15" s="2996"/>
      <c r="F15" s="2996"/>
      <c r="G15" s="2991"/>
    </row>
    <row r="16" spans="1:7" s="2797" customFormat="1" ht="20.25" customHeight="1">
      <c r="A16" s="2995" t="s">
        <v>2019</v>
      </c>
      <c r="B16" s="2995" t="s">
        <v>2019</v>
      </c>
      <c r="C16" s="2999"/>
      <c r="D16" s="3008" t="s">
        <v>2019</v>
      </c>
      <c r="E16" s="2996" t="s">
        <v>2019</v>
      </c>
      <c r="F16" s="2998"/>
      <c r="G16" s="3000"/>
    </row>
    <row r="17" spans="1:7" ht="20.25" customHeight="1">
      <c r="A17" s="3475" t="s">
        <v>1892</v>
      </c>
      <c r="B17" s="3476"/>
      <c r="C17" s="3476"/>
      <c r="D17" s="3476"/>
      <c r="E17" s="3476"/>
      <c r="F17" s="3476"/>
      <c r="G17" s="3000"/>
    </row>
    <row r="18" spans="1:7" ht="20.25" customHeight="1">
      <c r="A18" s="3472" t="s">
        <v>1893</v>
      </c>
      <c r="B18" s="3472"/>
      <c r="C18" s="3473"/>
      <c r="D18" s="3474" t="s">
        <v>1894</v>
      </c>
      <c r="E18" s="3472"/>
      <c r="F18" s="3472"/>
      <c r="G18" s="3000"/>
    </row>
    <row r="19" spans="1:7" s="2795" customFormat="1" ht="20.25" customHeight="1">
      <c r="A19" s="3001" t="s">
        <v>1895</v>
      </c>
      <c r="B19" s="3002" t="s">
        <v>1896</v>
      </c>
      <c r="C19" s="3009" t="s">
        <v>1897</v>
      </c>
      <c r="D19" s="3007" t="s">
        <v>1895</v>
      </c>
      <c r="E19" s="3002" t="s">
        <v>1896</v>
      </c>
      <c r="F19" s="3002" t="s">
        <v>1897</v>
      </c>
      <c r="G19" s="2992"/>
    </row>
    <row r="20" spans="1:7" s="2795" customFormat="1" ht="20.25" customHeight="1">
      <c r="A20" s="3003" t="s">
        <v>1898</v>
      </c>
      <c r="B20" s="3003" t="s">
        <v>1899</v>
      </c>
      <c r="C20" s="3010">
        <v>44820</v>
      </c>
      <c r="D20" s="3012" t="s">
        <v>1900</v>
      </c>
      <c r="E20" s="3003" t="s">
        <v>1901</v>
      </c>
      <c r="F20" s="3004">
        <v>44377</v>
      </c>
      <c r="G20" s="2992"/>
    </row>
    <row r="21" spans="1:7" s="2795" customFormat="1" ht="20.25" customHeight="1">
      <c r="A21" s="3003"/>
      <c r="B21" s="3003"/>
      <c r="C21" s="3011"/>
      <c r="D21" s="3012" t="s">
        <v>1902</v>
      </c>
      <c r="E21" s="3003" t="s">
        <v>2924</v>
      </c>
      <c r="F21" s="3004">
        <v>44012</v>
      </c>
      <c r="G21" s="2992"/>
    </row>
    <row r="22" spans="1:7" ht="20.25" customHeight="1">
      <c r="A22" s="2991"/>
      <c r="B22" s="2991"/>
      <c r="C22" s="3005"/>
      <c r="D22" s="3013"/>
      <c r="E22" s="3014"/>
      <c r="F22" s="3006" t="s">
        <v>2938</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33" priority="149">
      <formula>AND($C5-TODAY()&lt;30,TODAY()&lt;$C5)</formula>
    </cfRule>
  </conditionalFormatting>
  <conditionalFormatting sqref="C20">
    <cfRule type="expression" dxfId="232" priority="148">
      <formula>AND($C20-TODAY()&lt;30,TODAY()&lt;$C20)</formula>
    </cfRule>
  </conditionalFormatting>
  <conditionalFormatting sqref="C20 F4 C5 C13">
    <cfRule type="cellIs" dxfId="231" priority="150" stopIfTrue="1" operator="lessThan">
      <formula>$B$2</formula>
    </cfRule>
  </conditionalFormatting>
  <conditionalFormatting sqref="F5 F7 F9">
    <cfRule type="cellIs" dxfId="230" priority="144" stopIfTrue="1" operator="lessThan">
      <formula>$B$2</formula>
    </cfRule>
  </conditionalFormatting>
  <conditionalFormatting sqref="C16:D16">
    <cfRule type="expression" dxfId="229" priority="142">
      <formula>AND($C16-TODAY()&lt;30,TODAY()&lt;$C16)</formula>
    </cfRule>
  </conditionalFormatting>
  <conditionalFormatting sqref="F6 F8 F10 C16:D16">
    <cfRule type="cellIs" dxfId="228" priority="143" stopIfTrue="1" operator="lessThan">
      <formula>$B$2</formula>
    </cfRule>
  </conditionalFormatting>
  <conditionalFormatting sqref="F14">
    <cfRule type="cellIs" dxfId="227" priority="114" stopIfTrue="1" operator="lessThan">
      <formula>$B$2</formula>
    </cfRule>
  </conditionalFormatting>
  <conditionalFormatting sqref="F13">
    <cfRule type="cellIs" dxfId="226" priority="113" stopIfTrue="1" operator="lessThan">
      <formula>$B$2</formula>
    </cfRule>
  </conditionalFormatting>
  <conditionalFormatting sqref="B4:B11 E4:E11 E13:E15 B13:B15">
    <cfRule type="cellIs" dxfId="225" priority="111" stopIfTrue="1" operator="equal">
      <formula>"已过期"</formula>
    </cfRule>
  </conditionalFormatting>
  <conditionalFormatting sqref="F20">
    <cfRule type="cellIs" dxfId="224" priority="108" stopIfTrue="1" operator="lessThan">
      <formula>$B$2</formula>
    </cfRule>
  </conditionalFormatting>
  <conditionalFormatting sqref="F20">
    <cfRule type="expression" dxfId="223" priority="152">
      <formula>AND($E20-TODAY()&lt;30,TODAY()&lt;$E20)</formula>
    </cfRule>
  </conditionalFormatting>
  <conditionalFormatting sqref="C6">
    <cfRule type="expression" dxfId="222" priority="82">
      <formula>AND($C6-TODAY()&lt;30,TODAY()&lt;$C6)</formula>
    </cfRule>
  </conditionalFormatting>
  <conditionalFormatting sqref="C6">
    <cfRule type="cellIs" dxfId="221" priority="83" stopIfTrue="1" operator="lessThan">
      <formula>$B$2</formula>
    </cfRule>
  </conditionalFormatting>
  <conditionalFormatting sqref="C11 C15">
    <cfRule type="expression" dxfId="220" priority="80">
      <formula>AND($C11-TODAY()&lt;30,TODAY()&lt;$C11)</formula>
    </cfRule>
  </conditionalFormatting>
  <conditionalFormatting sqref="C11 C15">
    <cfRule type="cellIs" dxfId="219" priority="81" stopIfTrue="1" operator="lessThan">
      <formula>$B$2</formula>
    </cfRule>
  </conditionalFormatting>
  <conditionalFormatting sqref="F11">
    <cfRule type="cellIs" dxfId="218" priority="79" stopIfTrue="1" operator="lessThan">
      <formula>$B$2</formula>
    </cfRule>
  </conditionalFormatting>
  <conditionalFormatting sqref="C14">
    <cfRule type="expression" dxfId="217" priority="60">
      <formula>AND($C14-TODAY()&lt;30,TODAY()&lt;$C14)</formula>
    </cfRule>
  </conditionalFormatting>
  <conditionalFormatting sqref="C14">
    <cfRule type="cellIs" dxfId="216" priority="61" stopIfTrue="1" operator="lessThan">
      <formula>$B$2</formula>
    </cfRule>
  </conditionalFormatting>
  <conditionalFormatting sqref="C12">
    <cfRule type="cellIs" dxfId="215" priority="54" stopIfTrue="1" operator="lessThan">
      <formula>$B$2</formula>
    </cfRule>
  </conditionalFormatting>
  <conditionalFormatting sqref="C12">
    <cfRule type="expression" dxfId="214" priority="51">
      <formula>AND($C12-TODAY()&lt;30,TODAY()&lt;$C12)</formula>
    </cfRule>
  </conditionalFormatting>
  <conditionalFormatting sqref="C12">
    <cfRule type="cellIs" dxfId="213" priority="52" stopIfTrue="1" operator="lessThan">
      <formula>$B$2</formula>
    </cfRule>
  </conditionalFormatting>
  <conditionalFormatting sqref="B12">
    <cfRule type="cellIs" dxfId="212" priority="48" stopIfTrue="1" operator="equal">
      <formula>"已过期"</formula>
    </cfRule>
  </conditionalFormatting>
  <conditionalFormatting sqref="E12">
    <cfRule type="cellIs" dxfId="211" priority="38" stopIfTrue="1" operator="equal">
      <formula>"已过期"</formula>
    </cfRule>
  </conditionalFormatting>
  <conditionalFormatting sqref="F12">
    <cfRule type="cellIs" dxfId="210" priority="37" stopIfTrue="1" operator="lessThan">
      <formula>$B$2</formula>
    </cfRule>
  </conditionalFormatting>
  <conditionalFormatting sqref="C9:C10">
    <cfRule type="expression" dxfId="209" priority="33">
      <formula>AND($C9-TODAY()&lt;30,TODAY()&lt;$C9)</formula>
    </cfRule>
  </conditionalFormatting>
  <conditionalFormatting sqref="C9:C10">
    <cfRule type="cellIs" dxfId="208" priority="34" stopIfTrue="1" operator="lessThan">
      <formula>$B$2</formula>
    </cfRule>
  </conditionalFormatting>
  <conditionalFormatting sqref="F21">
    <cfRule type="cellIs" dxfId="207" priority="13" stopIfTrue="1" operator="lessThan">
      <formula>$B$2</formula>
    </cfRule>
  </conditionalFormatting>
  <conditionalFormatting sqref="F21">
    <cfRule type="expression" dxfId="206" priority="14">
      <formula>AND($E21-TODAY()&lt;30,TODAY()&lt;$E21)</formula>
    </cfRule>
  </conditionalFormatting>
  <conditionalFormatting sqref="C7:C8">
    <cfRule type="expression" dxfId="205" priority="5">
      <formula>AND($C7-TODAY()&lt;30,TODAY()&lt;$C7)</formula>
    </cfRule>
  </conditionalFormatting>
  <conditionalFormatting sqref="C7:C8">
    <cfRule type="cellIs" dxfId="204" priority="6" stopIfTrue="1" operator="lessThan">
      <formula>$B$2</formula>
    </cfRule>
  </conditionalFormatting>
  <conditionalFormatting sqref="C7:C8">
    <cfRule type="expression" dxfId="203" priority="3">
      <formula>AND($C7-TODAY()&lt;30,TODAY()&lt;$C7)</formula>
    </cfRule>
  </conditionalFormatting>
  <conditionalFormatting sqref="C7:C8">
    <cfRule type="cellIs" dxfId="202" priority="4" stopIfTrue="1" operator="lessThan">
      <formula>$B$2</formula>
    </cfRule>
  </conditionalFormatting>
  <conditionalFormatting sqref="C4">
    <cfRule type="expression" dxfId="201" priority="1">
      <formula>AND($C4-TODAY()&lt;30,TODAY()&lt;$C4)</formula>
    </cfRule>
  </conditionalFormatting>
  <conditionalFormatting sqref="C4">
    <cfRule type="cellIs" dxfId="20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4" sqref="B24"/>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2498</v>
      </c>
      <c r="R1" s="2400" t="s">
        <v>2492</v>
      </c>
      <c r="S1" s="6" t="s">
        <v>146</v>
      </c>
      <c r="T1" s="7" t="s">
        <v>147</v>
      </c>
      <c r="U1" s="6" t="s">
        <v>148</v>
      </c>
      <c r="V1" s="6" t="s">
        <v>149</v>
      </c>
      <c r="W1" s="974" t="s">
        <v>849</v>
      </c>
    </row>
    <row r="2" spans="1:23">
      <c r="A2" s="8" t="s">
        <v>73</v>
      </c>
      <c r="B2" s="8" t="s">
        <v>150</v>
      </c>
      <c r="C2" s="1464" t="s">
        <v>1683</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2493</v>
      </c>
      <c r="S2" s="9" t="s">
        <v>75</v>
      </c>
      <c r="T2" s="9" t="s">
        <v>76</v>
      </c>
      <c r="U2" s="9" t="s">
        <v>75</v>
      </c>
      <c r="V2" s="9" t="s">
        <v>77</v>
      </c>
      <c r="W2" s="9" t="s">
        <v>850</v>
      </c>
    </row>
    <row r="3" spans="1:23">
      <c r="A3" s="8" t="s">
        <v>78</v>
      </c>
      <c r="B3" s="10" t="s">
        <v>151</v>
      </c>
      <c r="C3" s="1465" t="s">
        <v>1684</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2494</v>
      </c>
      <c r="S3" s="9" t="s">
        <v>84</v>
      </c>
      <c r="T3" s="9" t="s">
        <v>85</v>
      </c>
      <c r="U3" s="9" t="s">
        <v>84</v>
      </c>
      <c r="V3" s="9" t="s">
        <v>86</v>
      </c>
      <c r="W3" s="9" t="s">
        <v>851</v>
      </c>
    </row>
    <row r="4" spans="1:23">
      <c r="A4" s="8" t="s">
        <v>87</v>
      </c>
      <c r="B4" s="8" t="s">
        <v>152</v>
      </c>
      <c r="C4" s="1464" t="s">
        <v>1685</v>
      </c>
      <c r="D4" s="9" t="s">
        <v>1960</v>
      </c>
      <c r="E4" s="9" t="s">
        <v>88</v>
      </c>
      <c r="F4" s="9" t="s">
        <v>89</v>
      </c>
      <c r="G4" s="9">
        <v>70</v>
      </c>
      <c r="H4" s="9" t="s">
        <v>90</v>
      </c>
      <c r="I4" s="9" t="s">
        <v>91</v>
      </c>
      <c r="K4" s="9" t="s">
        <v>92</v>
      </c>
      <c r="L4" s="9" t="s">
        <v>92</v>
      </c>
      <c r="M4" s="9" t="s">
        <v>92</v>
      </c>
      <c r="N4" s="9" t="s">
        <v>92</v>
      </c>
      <c r="O4" s="9" t="s">
        <v>92</v>
      </c>
      <c r="P4" s="975" t="s">
        <v>738</v>
      </c>
      <c r="Q4" s="9" t="s">
        <v>92</v>
      </c>
      <c r="R4" s="975" t="s">
        <v>2495</v>
      </c>
      <c r="S4" s="9" t="s">
        <v>92</v>
      </c>
      <c r="T4" s="9" t="s">
        <v>93</v>
      </c>
      <c r="U4" s="9" t="s">
        <v>92</v>
      </c>
      <c r="W4" s="9" t="s">
        <v>852</v>
      </c>
    </row>
    <row r="5" spans="1:23">
      <c r="A5" s="8" t="s">
        <v>94</v>
      </c>
      <c r="B5" s="8" t="s">
        <v>153</v>
      </c>
      <c r="C5" s="1464" t="s">
        <v>1686</v>
      </c>
      <c r="F5" s="9" t="s">
        <v>95</v>
      </c>
      <c r="H5" s="9" t="s">
        <v>70</v>
      </c>
      <c r="I5" s="9" t="s">
        <v>96</v>
      </c>
      <c r="K5" s="9" t="s">
        <v>97</v>
      </c>
      <c r="L5" s="9" t="s">
        <v>97</v>
      </c>
      <c r="M5" s="9" t="s">
        <v>97</v>
      </c>
      <c r="N5" s="9" t="s">
        <v>97</v>
      </c>
      <c r="O5" s="9" t="s">
        <v>97</v>
      </c>
      <c r="P5" s="975" t="s">
        <v>524</v>
      </c>
      <c r="Q5" s="9" t="s">
        <v>97</v>
      </c>
      <c r="R5" s="975" t="s">
        <v>2496</v>
      </c>
      <c r="S5" s="9" t="s">
        <v>97</v>
      </c>
      <c r="T5" s="9" t="s">
        <v>98</v>
      </c>
      <c r="U5" s="9" t="s">
        <v>97</v>
      </c>
      <c r="W5" s="9" t="s">
        <v>853</v>
      </c>
    </row>
    <row r="6" spans="1:23">
      <c r="A6" s="8" t="s">
        <v>99</v>
      </c>
      <c r="B6" s="1114" t="s">
        <v>3125</v>
      </c>
      <c r="C6" s="1466" t="s">
        <v>1687</v>
      </c>
      <c r="F6" s="9" t="s">
        <v>71</v>
      </c>
      <c r="H6" s="9" t="s">
        <v>72</v>
      </c>
      <c r="I6" s="9" t="s">
        <v>100</v>
      </c>
      <c r="K6" s="9" t="s">
        <v>101</v>
      </c>
      <c r="L6" s="9" t="s">
        <v>101</v>
      </c>
      <c r="M6" s="9" t="s">
        <v>101</v>
      </c>
      <c r="N6" s="9" t="s">
        <v>101</v>
      </c>
      <c r="O6" s="9" t="s">
        <v>101</v>
      </c>
      <c r="P6" s="975" t="s">
        <v>856</v>
      </c>
      <c r="Q6" s="9" t="s">
        <v>101</v>
      </c>
      <c r="R6" s="975" t="s">
        <v>2497</v>
      </c>
      <c r="S6" s="9" t="s">
        <v>101</v>
      </c>
      <c r="T6" s="9"/>
      <c r="U6" s="9" t="s">
        <v>101</v>
      </c>
      <c r="W6" s="9" t="s">
        <v>854</v>
      </c>
    </row>
    <row r="7" spans="1:23">
      <c r="A7" s="8" t="s">
        <v>102</v>
      </c>
      <c r="B7" s="8" t="s">
        <v>103</v>
      </c>
      <c r="C7" s="1464" t="s">
        <v>1688</v>
      </c>
      <c r="F7" s="9" t="s">
        <v>154</v>
      </c>
      <c r="H7" s="9" t="s">
        <v>104</v>
      </c>
      <c r="I7" s="9" t="s">
        <v>105</v>
      </c>
    </row>
    <row r="8" spans="1:23">
      <c r="A8" s="8" t="s">
        <v>106</v>
      </c>
      <c r="B8" s="8" t="s">
        <v>107</v>
      </c>
      <c r="C8" s="1464" t="s">
        <v>1689</v>
      </c>
      <c r="F8" s="9" t="s">
        <v>155</v>
      </c>
      <c r="H8" s="9"/>
      <c r="I8" s="9" t="s">
        <v>108</v>
      </c>
    </row>
    <row r="9" spans="1:23">
      <c r="A9" s="8" t="s">
        <v>109</v>
      </c>
      <c r="B9" s="8" t="s">
        <v>156</v>
      </c>
      <c r="C9" s="1464" t="s">
        <v>1690</v>
      </c>
      <c r="F9" s="9" t="s">
        <v>110</v>
      </c>
      <c r="H9" s="9"/>
    </row>
    <row r="10" spans="1:23">
      <c r="A10" s="8" t="s">
        <v>111</v>
      </c>
      <c r="B10" s="8" t="s">
        <v>157</v>
      </c>
      <c r="C10" s="1464" t="s">
        <v>1691</v>
      </c>
      <c r="F10" s="9" t="s">
        <v>6</v>
      </c>
    </row>
    <row r="11" spans="1:23">
      <c r="A11" s="8" t="s">
        <v>112</v>
      </c>
      <c r="B11" s="8" t="s">
        <v>158</v>
      </c>
      <c r="C11" s="1464" t="s">
        <v>1692</v>
      </c>
    </row>
    <row r="12" spans="1:23">
      <c r="A12" s="8" t="s">
        <v>113</v>
      </c>
      <c r="B12" s="8" t="s">
        <v>159</v>
      </c>
      <c r="C12" s="1464" t="s">
        <v>1693</v>
      </c>
    </row>
    <row r="13" spans="1:23">
      <c r="A13" s="8" t="s">
        <v>114</v>
      </c>
      <c r="B13" s="8" t="s">
        <v>160</v>
      </c>
      <c r="C13" s="1464" t="s">
        <v>1694</v>
      </c>
    </row>
    <row r="14" spans="1:23">
      <c r="A14" s="8" t="s">
        <v>115</v>
      </c>
      <c r="B14" s="8" t="s">
        <v>161</v>
      </c>
      <c r="C14" s="1467" t="s">
        <v>1864</v>
      </c>
    </row>
    <row r="15" spans="1:23">
      <c r="A15" s="8" t="s">
        <v>116</v>
      </c>
      <c r="B15" s="8" t="s">
        <v>1655</v>
      </c>
      <c r="C15" s="1467"/>
    </row>
    <row r="16" spans="1:23">
      <c r="A16" s="8" t="s">
        <v>117</v>
      </c>
      <c r="B16" s="8" t="s">
        <v>1656</v>
      </c>
      <c r="C16" s="1467"/>
    </row>
    <row r="17" spans="1:3">
      <c r="A17" s="8" t="s">
        <v>118</v>
      </c>
      <c r="B17" s="8" t="s">
        <v>1657</v>
      </c>
      <c r="C17" s="1467"/>
    </row>
    <row r="18" spans="1:3">
      <c r="A18" s="8" t="s">
        <v>119</v>
      </c>
      <c r="B18" s="2758" t="s">
        <v>2890</v>
      </c>
      <c r="C18" s="1467"/>
    </row>
    <row r="19" spans="1:3">
      <c r="A19" s="8" t="s">
        <v>120</v>
      </c>
      <c r="B19" s="2758" t="s">
        <v>2897</v>
      </c>
      <c r="C19" s="1467"/>
    </row>
    <row r="20" spans="1:3">
      <c r="A20" s="8" t="s">
        <v>121</v>
      </c>
      <c r="B20" s="2758" t="s">
        <v>2939</v>
      </c>
      <c r="C20" s="1467"/>
    </row>
    <row r="21" spans="1:3">
      <c r="A21" s="8" t="s">
        <v>122</v>
      </c>
      <c r="B21" s="8" t="s">
        <v>3121</v>
      </c>
      <c r="C21" s="1467"/>
    </row>
    <row r="22" spans="1:3">
      <c r="A22" s="8" t="s">
        <v>123</v>
      </c>
      <c r="B22" s="2758" t="s">
        <v>3126</v>
      </c>
      <c r="C22" s="1467"/>
    </row>
    <row r="23" spans="1:3">
      <c r="A23" s="8" t="s">
        <v>124</v>
      </c>
      <c r="B23" s="2758" t="s">
        <v>3127</v>
      </c>
      <c r="C23" s="1467"/>
    </row>
    <row r="24" spans="1:3">
      <c r="A24" s="8" t="s">
        <v>12</v>
      </c>
      <c r="B24" s="8" t="s">
        <v>1615</v>
      </c>
      <c r="C24" s="1467"/>
    </row>
    <row r="25" spans="1:3">
      <c r="A25" s="8" t="s">
        <v>125</v>
      </c>
      <c r="B25" s="8" t="s">
        <v>1615</v>
      </c>
      <c r="C25" s="1467"/>
    </row>
    <row r="26" spans="1:3">
      <c r="A26" s="8" t="s">
        <v>126</v>
      </c>
      <c r="B26" s="8" t="s">
        <v>1615</v>
      </c>
      <c r="C26" s="1467"/>
    </row>
    <row r="27" spans="1:3">
      <c r="A27" s="8" t="s">
        <v>1615</v>
      </c>
      <c r="B27" s="8" t="s">
        <v>1615</v>
      </c>
      <c r="C27" s="1467"/>
    </row>
    <row r="28" spans="1:3">
      <c r="A28" s="8" t="s">
        <v>1615</v>
      </c>
      <c r="B28" s="8" t="s">
        <v>1615</v>
      </c>
      <c r="C28" s="1467"/>
    </row>
    <row r="29" spans="1:3">
      <c r="A29" s="8" t="s">
        <v>1615</v>
      </c>
      <c r="B29" s="8" t="s">
        <v>1615</v>
      </c>
      <c r="C29" s="1467"/>
    </row>
    <row r="30" spans="1:3">
      <c r="A30" s="8" t="s">
        <v>1615</v>
      </c>
      <c r="B30" s="8" t="s">
        <v>1615</v>
      </c>
      <c r="C30" s="1467"/>
    </row>
    <row r="31" spans="1:3">
      <c r="A31" s="8" t="s">
        <v>1615</v>
      </c>
      <c r="B31" s="8" t="s">
        <v>1615</v>
      </c>
      <c r="C31" s="1467"/>
    </row>
    <row r="32" spans="1:3">
      <c r="A32" s="8" t="s">
        <v>1615</v>
      </c>
      <c r="B32" s="8" t="s">
        <v>1615</v>
      </c>
      <c r="C32" s="1467"/>
    </row>
    <row r="33" spans="1:3">
      <c r="A33" s="8" t="s">
        <v>1615</v>
      </c>
      <c r="B33" s="8" t="s">
        <v>1615</v>
      </c>
      <c r="C33" s="1467"/>
    </row>
    <row r="34" spans="1:3">
      <c r="A34" s="8" t="s">
        <v>1615</v>
      </c>
      <c r="B34" s="8" t="s">
        <v>1615</v>
      </c>
      <c r="C34" s="1467"/>
    </row>
    <row r="35" spans="1:3">
      <c r="A35" s="8" t="s">
        <v>1615</v>
      </c>
      <c r="B35" s="8" t="s">
        <v>1615</v>
      </c>
      <c r="C35" s="1467"/>
    </row>
    <row r="36" spans="1:3">
      <c r="A36" s="8" t="s">
        <v>1615</v>
      </c>
      <c r="B36" s="8" t="s">
        <v>1615</v>
      </c>
      <c r="C36" s="1467"/>
    </row>
    <row r="37" spans="1:3">
      <c r="A37" s="8" t="s">
        <v>1615</v>
      </c>
      <c r="B37" s="8" t="s">
        <v>1615</v>
      </c>
      <c r="C37" s="1467"/>
    </row>
    <row r="38" spans="1:3">
      <c r="A38" s="8" t="s">
        <v>1615</v>
      </c>
      <c r="B38" s="8" t="s">
        <v>1615</v>
      </c>
      <c r="C38" s="1467"/>
    </row>
    <row r="39" spans="1:3">
      <c r="A39" s="8" t="s">
        <v>1615</v>
      </c>
      <c r="B39" s="8" t="s">
        <v>1615</v>
      </c>
      <c r="C39" s="1467"/>
    </row>
    <row r="40" spans="1:3">
      <c r="A40" s="8" t="s">
        <v>1615</v>
      </c>
      <c r="B40" s="8" t="s">
        <v>1615</v>
      </c>
      <c r="C40" s="1467"/>
    </row>
    <row r="41" spans="1:3">
      <c r="A41" s="8" t="s">
        <v>1615</v>
      </c>
      <c r="B41" s="8" t="s">
        <v>1615</v>
      </c>
      <c r="C41" s="1467"/>
    </row>
    <row r="42" spans="1:3">
      <c r="A42" s="8" t="s">
        <v>1615</v>
      </c>
      <c r="B42" s="8" t="s">
        <v>1615</v>
      </c>
      <c r="C42" s="1467"/>
    </row>
    <row r="43" spans="1:3">
      <c r="A43" s="8" t="s">
        <v>1615</v>
      </c>
      <c r="B43" s="8" t="s">
        <v>1615</v>
      </c>
      <c r="C43" s="1467"/>
    </row>
    <row r="44" spans="1:3">
      <c r="A44" s="8" t="s">
        <v>1615</v>
      </c>
      <c r="B44" s="8" t="s">
        <v>1615</v>
      </c>
      <c r="C44" s="1467"/>
    </row>
    <row r="45" spans="1:3">
      <c r="A45" s="8" t="s">
        <v>1615</v>
      </c>
      <c r="B45" s="8" t="s">
        <v>1615</v>
      </c>
      <c r="C45" s="1467"/>
    </row>
    <row r="46" spans="1:3">
      <c r="A46" s="8" t="s">
        <v>1615</v>
      </c>
      <c r="B46" s="8" t="s">
        <v>1615</v>
      </c>
      <c r="C46" s="1467"/>
    </row>
    <row r="47" spans="1:3">
      <c r="A47" s="8" t="s">
        <v>1615</v>
      </c>
      <c r="B47" s="8" t="s">
        <v>1615</v>
      </c>
      <c r="C47" s="1467"/>
    </row>
    <row r="48" spans="1:3">
      <c r="A48" s="8" t="s">
        <v>1615</v>
      </c>
      <c r="B48" s="8" t="s">
        <v>1615</v>
      </c>
      <c r="C48" s="1467"/>
    </row>
    <row r="49" spans="1:5">
      <c r="A49" s="8" t="s">
        <v>1615</v>
      </c>
      <c r="B49" s="8" t="s">
        <v>1615</v>
      </c>
      <c r="C49" s="1467"/>
    </row>
    <row r="50" spans="1:5">
      <c r="A50" s="8" t="s">
        <v>1615</v>
      </c>
      <c r="B50" s="8" t="s">
        <v>1615</v>
      </c>
      <c r="C50" s="1467"/>
    </row>
    <row r="51" spans="1:5">
      <c r="A51" s="1656" t="s">
        <v>1908</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1952</v>
      </c>
      <c r="B52" s="1659" t="s">
        <v>1953</v>
      </c>
      <c r="C52" s="1657" t="s">
        <v>1954</v>
      </c>
      <c r="D52" s="1657" t="s">
        <v>1955</v>
      </c>
      <c r="E52" s="1658"/>
    </row>
    <row r="53" spans="1:5">
      <c r="A53" s="3477" t="s">
        <v>1956</v>
      </c>
      <c r="B53" s="1657" t="s">
        <v>1962</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c r="D53" s="1658"/>
      <c r="E53" s="1658"/>
    </row>
    <row r="54" spans="1:5">
      <c r="A54" s="3477"/>
      <c r="B54" s="1657" t="s">
        <v>1963</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77"/>
      <c r="B55" s="1657" t="s">
        <v>1957</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77"/>
      <c r="B56" s="1657" t="s">
        <v>1958</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77"/>
      <c r="B57" s="1657" t="s">
        <v>1959</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2015</v>
      </c>
      <c r="B58" s="1657" t="s">
        <v>2016</v>
      </c>
      <c r="C58" s="11" t="s">
        <v>2017</v>
      </c>
      <c r="D58" s="1255"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156</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基准地价商业</vt:lpstr>
      <vt:lpstr>基准地价办公</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2022-03-28T02:41:41Z</dcterms:modified>
</cp:coreProperties>
</file>